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docs.live.net/8950D010285FF840/Desktop/2019 desktop/Work/MARKETING/Pricesheets/"/>
    </mc:Choice>
  </mc:AlternateContent>
  <xr:revisionPtr revIDLastSave="0" documentId="8_{026A2A3E-29DD-461D-AFB9-4A36C7602C3E}" xr6:coauthVersionLast="47" xr6:coauthVersionMax="47" xr10:uidLastSave="{00000000-0000-0000-0000-000000000000}"/>
  <bookViews>
    <workbookView xWindow="-98" yWindow="-98" windowWidth="23236" windowHeight="13875" xr2:uid="{6C32EFBD-D1B2-4CD5-9F06-3B1C96A795C8}"/>
  </bookViews>
  <sheets>
    <sheet name="Introduction" sheetId="1" r:id="rId1"/>
    <sheet name="ArtBooks - Matte Paper" sheetId="2" r:id="rId2"/>
    <sheet name="ArtBooks - Cotton Rag" sheetId="3" r:id="rId3"/>
    <sheet name="ArtBooks - Hahnemühle Bamboo" sheetId="4" r:id="rId4"/>
    <sheet name="ArtBooks - The Journal" sheetId="5" r:id="rId5"/>
    <sheet name="AriaBooks - Classic" sheetId="6" r:id="rId6"/>
    <sheet name="AriaBooks - Slim" sheetId="14" r:id="rId7"/>
    <sheet name="Album Copies" sheetId="15" r:id="rId8"/>
    <sheet name="PrimaBooks" sheetId="23" r:id="rId9"/>
    <sheet name="QT Pocket" sheetId="7" r:id="rId10"/>
    <sheet name="Little QT" sheetId="21" r:id="rId11"/>
    <sheet name="Mini QT" sheetId="19" r:id="rId12"/>
    <sheet name="Heirloom Books" sheetId="20" r:id="rId13"/>
    <sheet name="Frames" sheetId="18" r:id="rId14"/>
    <sheet name="Canvas" sheetId="22" r:id="rId15"/>
    <sheet name="Prints" sheetId="11" r:id="rId16"/>
    <sheet name="Print Boxes" sheetId="12" r:id="rId17"/>
    <sheet name="Folios" sheetId="13" r:id="rId18"/>
    <sheet name="Slip-In Folios" sheetId="17" r:id="rId19"/>
    <sheet name="Slip-In Albums" sheetId="16" r:id="rId20"/>
    <sheet name="Personalisation Chart" sheetId="10" r:id="rId21"/>
  </sheets>
  <definedNames>
    <definedName name="_xlnm.Print_Area" localSheetId="7">'Album Copies'!$A$1:$J$38</definedName>
    <definedName name="_xlnm.Print_Area" localSheetId="5">'AriaBooks - Classic'!$A$1:$S$33</definedName>
    <definedName name="_xlnm.Print_Area" localSheetId="6">'AriaBooks - Slim'!$A$1:$V$33</definedName>
    <definedName name="_xlnm.Print_Area" localSheetId="2">'ArtBooks - Cotton Rag'!$A$1:$R$32</definedName>
    <definedName name="_xlnm.Print_Area" localSheetId="3">'ArtBooks - Hahnemühle Bamboo'!$A$1:$R$32</definedName>
    <definedName name="_xlnm.Print_Area" localSheetId="1">'ArtBooks - Matte Paper'!$A$1:$U$32</definedName>
    <definedName name="_xlnm.Print_Area" localSheetId="4">'ArtBooks - The Journal'!$A$1:$O$22</definedName>
    <definedName name="_xlnm.Print_Area" localSheetId="14">Canvas!$A$1:$D$25</definedName>
    <definedName name="_xlnm.Print_Area" localSheetId="17">Folios!$A$1:$J$21</definedName>
    <definedName name="_xlnm.Print_Area" localSheetId="13">Frames!$B$2:$L$38</definedName>
    <definedName name="_xlnm.Print_Area" localSheetId="12">'Heirloom Books'!$A$1:$S$30</definedName>
    <definedName name="_xlnm.Print_Area" localSheetId="0">Introduction!$A$1:$P$26</definedName>
    <definedName name="_xlnm.Print_Area" localSheetId="10">'Little QT'!$A$1:$P$24</definedName>
    <definedName name="_xlnm.Print_Area" localSheetId="11">'Mini QT'!$A$1:$K$14</definedName>
    <definedName name="_xlnm.Print_Area" localSheetId="20">'Personalisation Chart'!$A$1:$H$6</definedName>
    <definedName name="_xlnm.Print_Area" localSheetId="8">PrimaBooks!$A$1:$U$24</definedName>
    <definedName name="_xlnm.Print_Area" localSheetId="16">'Print Boxes'!$A$1:$J$42</definedName>
    <definedName name="_xlnm.Print_Area" localSheetId="15">Prints!$B$2:$J$41</definedName>
    <definedName name="_xlnm.Print_Area" localSheetId="9">'QT Pocket'!$A$1:$K$13</definedName>
    <definedName name="_xlnm.Print_Area" localSheetId="19">'Slip-In Albums'!$A$1:$M$24</definedName>
    <definedName name="_xlnm.Print_Area" localSheetId="18">'Slip-In Folios'!$A$1:$J$27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4" l="1"/>
  <c r="C19" i="14"/>
  <c r="D18" i="14"/>
  <c r="C18" i="14"/>
  <c r="I18" i="14" s="1"/>
  <c r="D17" i="14"/>
  <c r="C17" i="14"/>
  <c r="D16" i="14"/>
  <c r="D15" i="14"/>
  <c r="D14" i="14"/>
  <c r="D13" i="14"/>
  <c r="D12" i="14"/>
  <c r="C16" i="14"/>
  <c r="C15" i="14"/>
  <c r="C14" i="14"/>
  <c r="C13" i="14"/>
  <c r="D18" i="2"/>
  <c r="D17" i="2"/>
  <c r="D16" i="2"/>
  <c r="N16" i="2" s="1"/>
  <c r="D15" i="2"/>
  <c r="D14" i="2"/>
  <c r="D13" i="2"/>
  <c r="D12" i="2"/>
  <c r="D11" i="2"/>
  <c r="E17" i="2"/>
  <c r="C18" i="2"/>
  <c r="C17" i="2"/>
  <c r="C16" i="2"/>
  <c r="C15" i="2"/>
  <c r="C14" i="2"/>
  <c r="C13" i="2"/>
  <c r="C12" i="2"/>
  <c r="C11" i="2"/>
  <c r="D36" i="3"/>
  <c r="C36" i="3"/>
  <c r="D35" i="3"/>
  <c r="C35" i="3"/>
  <c r="L35" i="3" s="1"/>
  <c r="D34" i="3"/>
  <c r="C34" i="3"/>
  <c r="J34" i="3" s="1"/>
  <c r="I34" i="3"/>
  <c r="D18" i="3"/>
  <c r="C18" i="3"/>
  <c r="C17" i="3"/>
  <c r="D17" i="3"/>
  <c r="G17" i="3" s="1"/>
  <c r="D16" i="3"/>
  <c r="C16" i="3"/>
  <c r="E16" i="3" s="1"/>
  <c r="I16" i="3"/>
  <c r="J16" i="3"/>
  <c r="K16" i="3"/>
  <c r="L16" i="3"/>
  <c r="E34" i="3"/>
  <c r="G34" i="3"/>
  <c r="H34" i="3"/>
  <c r="E35" i="3"/>
  <c r="D36" i="4"/>
  <c r="C36" i="4"/>
  <c r="E34" i="4"/>
  <c r="G34" i="4"/>
  <c r="H34" i="4"/>
  <c r="I34" i="4"/>
  <c r="J34" i="4"/>
  <c r="K34" i="4"/>
  <c r="L34" i="4"/>
  <c r="E35" i="4"/>
  <c r="G35" i="4"/>
  <c r="H35" i="4"/>
  <c r="I35" i="4"/>
  <c r="J35" i="4"/>
  <c r="K35" i="4"/>
  <c r="L35" i="4"/>
  <c r="D35" i="4"/>
  <c r="C35" i="4"/>
  <c r="D34" i="4"/>
  <c r="C34" i="4"/>
  <c r="D17" i="4"/>
  <c r="C17" i="4"/>
  <c r="K17" i="4" s="1"/>
  <c r="D16" i="4"/>
  <c r="G16" i="4" s="1"/>
  <c r="C16" i="4"/>
  <c r="E16" i="4"/>
  <c r="H16" i="4"/>
  <c r="I16" i="4"/>
  <c r="J16" i="4"/>
  <c r="K16" i="4"/>
  <c r="L16" i="4"/>
  <c r="D19" i="6"/>
  <c r="C19" i="6"/>
  <c r="D18" i="6"/>
  <c r="D17" i="6"/>
  <c r="C18" i="6"/>
  <c r="E18" i="6" s="1"/>
  <c r="C17" i="6"/>
  <c r="L17" i="6" s="1"/>
  <c r="C16" i="6"/>
  <c r="C15" i="6"/>
  <c r="C14" i="6"/>
  <c r="C13" i="6"/>
  <c r="D16" i="6"/>
  <c r="D15" i="6"/>
  <c r="D14" i="6"/>
  <c r="D13" i="6"/>
  <c r="D12" i="6"/>
  <c r="L18" i="6"/>
  <c r="G18" i="6"/>
  <c r="R22" i="6"/>
  <c r="Q20" i="4"/>
  <c r="Q19" i="3"/>
  <c r="T19" i="2"/>
  <c r="D21" i="17"/>
  <c r="D20" i="17"/>
  <c r="D19" i="17"/>
  <c r="D17" i="17"/>
  <c r="D16" i="17"/>
  <c r="D12" i="17"/>
  <c r="D11" i="17"/>
  <c r="D10" i="17"/>
  <c r="D13" i="17"/>
  <c r="D14" i="17"/>
  <c r="D18" i="17"/>
  <c r="D15" i="17"/>
  <c r="T13" i="23"/>
  <c r="T12" i="23"/>
  <c r="D12" i="23"/>
  <c r="C12" i="23"/>
  <c r="T11" i="23"/>
  <c r="D11" i="23"/>
  <c r="C11" i="23"/>
  <c r="T10" i="23"/>
  <c r="S15" i="23" s="1"/>
  <c r="D10" i="23"/>
  <c r="C10" i="23"/>
  <c r="E9" i="23"/>
  <c r="K13" i="18"/>
  <c r="F13" i="18"/>
  <c r="F38" i="18"/>
  <c r="E38" i="18"/>
  <c r="D38" i="18"/>
  <c r="C38" i="18"/>
  <c r="F37" i="18"/>
  <c r="E37" i="18"/>
  <c r="D37" i="18"/>
  <c r="C37" i="18"/>
  <c r="L36" i="18"/>
  <c r="G36" i="18"/>
  <c r="L35" i="18"/>
  <c r="G35" i="18"/>
  <c r="F34" i="18"/>
  <c r="E34" i="18"/>
  <c r="D34" i="18"/>
  <c r="C34" i="18"/>
  <c r="F33" i="18"/>
  <c r="E33" i="18"/>
  <c r="C33" i="18"/>
  <c r="L32" i="18"/>
  <c r="G32" i="18"/>
  <c r="F31" i="18"/>
  <c r="E31" i="18"/>
  <c r="D31" i="18"/>
  <c r="C31" i="18"/>
  <c r="F30" i="18"/>
  <c r="E30" i="18"/>
  <c r="D30" i="18"/>
  <c r="C30" i="18"/>
  <c r="E29" i="18"/>
  <c r="D29" i="18"/>
  <c r="C29" i="18"/>
  <c r="F28" i="18"/>
  <c r="E28" i="18"/>
  <c r="D28" i="18"/>
  <c r="C28" i="18"/>
  <c r="E27" i="18"/>
  <c r="D27" i="18"/>
  <c r="C27" i="18"/>
  <c r="F22" i="18"/>
  <c r="E22" i="18"/>
  <c r="D22" i="18"/>
  <c r="C22" i="18"/>
  <c r="F21" i="18"/>
  <c r="E21" i="18"/>
  <c r="D21" i="18"/>
  <c r="C21" i="18"/>
  <c r="L20" i="18"/>
  <c r="G20" i="18"/>
  <c r="L19" i="18"/>
  <c r="G19" i="18"/>
  <c r="F18" i="18"/>
  <c r="E18" i="18"/>
  <c r="D18" i="18"/>
  <c r="C18" i="18"/>
  <c r="F17" i="18"/>
  <c r="E17" i="18"/>
  <c r="D17" i="18"/>
  <c r="C17" i="18"/>
  <c r="L16" i="18"/>
  <c r="G16" i="18"/>
  <c r="F15" i="18"/>
  <c r="E15" i="18"/>
  <c r="D15" i="18"/>
  <c r="C15" i="18"/>
  <c r="F14" i="18"/>
  <c r="E14" i="18"/>
  <c r="D14" i="18"/>
  <c r="C14" i="18"/>
  <c r="E13" i="18"/>
  <c r="D13" i="18"/>
  <c r="C13" i="18"/>
  <c r="F12" i="18"/>
  <c r="E12" i="18"/>
  <c r="D12" i="18"/>
  <c r="C12" i="18"/>
  <c r="E11" i="18"/>
  <c r="D11" i="18"/>
  <c r="C11" i="18"/>
  <c r="I10" i="11"/>
  <c r="H10" i="11"/>
  <c r="G10" i="11"/>
  <c r="F10" i="11"/>
  <c r="E10" i="11"/>
  <c r="C41" i="11"/>
  <c r="C40" i="11"/>
  <c r="C39" i="11"/>
  <c r="C38" i="11"/>
  <c r="C37" i="11"/>
  <c r="C36" i="11"/>
  <c r="C35" i="11"/>
  <c r="G31" i="11"/>
  <c r="F31" i="11"/>
  <c r="D31" i="11"/>
  <c r="C31" i="11"/>
  <c r="G30" i="11"/>
  <c r="F30" i="11"/>
  <c r="D30" i="11"/>
  <c r="C30" i="11"/>
  <c r="G29" i="11"/>
  <c r="F29" i="11"/>
  <c r="D29" i="11"/>
  <c r="C29" i="11"/>
  <c r="G28" i="11"/>
  <c r="F28" i="11"/>
  <c r="D28" i="11"/>
  <c r="C28" i="11"/>
  <c r="G27" i="11"/>
  <c r="F27" i="11"/>
  <c r="D27" i="11"/>
  <c r="C27" i="11"/>
  <c r="G26" i="11"/>
  <c r="F26" i="11"/>
  <c r="D26" i="11"/>
  <c r="C26" i="11"/>
  <c r="G25" i="11"/>
  <c r="F25" i="11"/>
  <c r="D25" i="11"/>
  <c r="C25" i="11"/>
  <c r="F21" i="11"/>
  <c r="E21" i="11"/>
  <c r="F20" i="11"/>
  <c r="E20" i="11"/>
  <c r="D20" i="11"/>
  <c r="F19" i="11"/>
  <c r="E19" i="11"/>
  <c r="D19" i="11"/>
  <c r="F18" i="11"/>
  <c r="E18" i="11"/>
  <c r="D18" i="11"/>
  <c r="C18" i="11"/>
  <c r="F17" i="11"/>
  <c r="E17" i="11"/>
  <c r="D17" i="11"/>
  <c r="F16" i="11"/>
  <c r="E16" i="11"/>
  <c r="D16" i="11"/>
  <c r="F15" i="11"/>
  <c r="E15" i="11"/>
  <c r="F14" i="11"/>
  <c r="E14" i="11"/>
  <c r="D15" i="11"/>
  <c r="D14" i="11"/>
  <c r="C21" i="11"/>
  <c r="C20" i="11"/>
  <c r="C19" i="11"/>
  <c r="C17" i="11"/>
  <c r="C16" i="11"/>
  <c r="C15" i="11"/>
  <c r="C14" i="11"/>
  <c r="F13" i="11"/>
  <c r="E13" i="11"/>
  <c r="D13" i="11"/>
  <c r="C13" i="11"/>
  <c r="F12" i="11"/>
  <c r="E12" i="11"/>
  <c r="D12" i="11"/>
  <c r="C12" i="11"/>
  <c r="F11" i="11"/>
  <c r="E11" i="11"/>
  <c r="D11" i="11"/>
  <c r="C11" i="11"/>
  <c r="G11" i="11"/>
  <c r="I11" i="11"/>
  <c r="H11" i="11"/>
  <c r="H18" i="14" l="1"/>
  <c r="M18" i="14"/>
  <c r="G18" i="14"/>
  <c r="E18" i="14"/>
  <c r="E17" i="14"/>
  <c r="O17" i="14"/>
  <c r="N17" i="14"/>
  <c r="M17" i="14"/>
  <c r="L17" i="14"/>
  <c r="O18" i="14"/>
  <c r="K17" i="14"/>
  <c r="H17" i="14"/>
  <c r="J17" i="14"/>
  <c r="I17" i="14"/>
  <c r="L18" i="14"/>
  <c r="K18" i="14"/>
  <c r="G17" i="14"/>
  <c r="N18" i="14"/>
  <c r="J18" i="14"/>
  <c r="O16" i="2"/>
  <c r="H16" i="2"/>
  <c r="G17" i="2"/>
  <c r="H17" i="2"/>
  <c r="M16" i="2"/>
  <c r="E16" i="2"/>
  <c r="L16" i="2"/>
  <c r="O17" i="2"/>
  <c r="K16" i="2"/>
  <c r="N17" i="2"/>
  <c r="J16" i="2"/>
  <c r="M17" i="2"/>
  <c r="I16" i="2"/>
  <c r="G16" i="2"/>
  <c r="L17" i="2"/>
  <c r="K17" i="2"/>
  <c r="J17" i="2"/>
  <c r="I17" i="2"/>
  <c r="G35" i="3"/>
  <c r="J35" i="3"/>
  <c r="I35" i="3"/>
  <c r="K35" i="3"/>
  <c r="H35" i="3"/>
  <c r="L34" i="3"/>
  <c r="K34" i="3"/>
  <c r="H17" i="3"/>
  <c r="E17" i="3"/>
  <c r="L17" i="3"/>
  <c r="K17" i="3"/>
  <c r="I17" i="3"/>
  <c r="J17" i="3"/>
  <c r="H16" i="3"/>
  <c r="G16" i="3"/>
  <c r="H17" i="4"/>
  <c r="J17" i="4"/>
  <c r="G17" i="4"/>
  <c r="I17" i="4"/>
  <c r="E17" i="4"/>
  <c r="L17" i="4"/>
  <c r="I18" i="6"/>
  <c r="H18" i="6"/>
  <c r="K17" i="6"/>
  <c r="M17" i="6"/>
  <c r="J17" i="6"/>
  <c r="J18" i="6"/>
  <c r="K18" i="6"/>
  <c r="G17" i="6"/>
  <c r="M18" i="6"/>
  <c r="I17" i="6"/>
  <c r="H17" i="6"/>
  <c r="E17" i="6"/>
  <c r="N12" i="23"/>
  <c r="K12" i="23"/>
  <c r="H12" i="23"/>
  <c r="O12" i="23"/>
  <c r="M12" i="23"/>
  <c r="L12" i="23"/>
  <c r="J12" i="23"/>
  <c r="I12" i="23"/>
  <c r="G12" i="23"/>
  <c r="E12" i="23"/>
  <c r="I11" i="23"/>
  <c r="N11" i="23"/>
  <c r="L11" i="23"/>
  <c r="K11" i="23"/>
  <c r="J11" i="23"/>
  <c r="G11" i="23"/>
  <c r="E11" i="23"/>
  <c r="M11" i="23"/>
  <c r="O11" i="23"/>
  <c r="H11" i="23"/>
  <c r="O10" i="23"/>
  <c r="L10" i="23"/>
  <c r="G10" i="23"/>
  <c r="M10" i="23"/>
  <c r="K10" i="23"/>
  <c r="I10" i="23"/>
  <c r="H10" i="23"/>
  <c r="N10" i="23"/>
  <c r="J10" i="23"/>
  <c r="E10" i="23"/>
  <c r="C12" i="7"/>
  <c r="D12" i="7"/>
  <c r="D11" i="7"/>
  <c r="C11" i="7"/>
  <c r="I21" i="11"/>
  <c r="I20" i="11"/>
  <c r="I19" i="11"/>
  <c r="I18" i="11"/>
  <c r="I17" i="11"/>
  <c r="I16" i="11"/>
  <c r="I15" i="11"/>
  <c r="I14" i="11"/>
  <c r="I13" i="11"/>
  <c r="I12" i="11"/>
  <c r="I30" i="11"/>
  <c r="I29" i="11"/>
  <c r="I28" i="11"/>
  <c r="I27" i="11"/>
  <c r="I26" i="11"/>
  <c r="I25" i="11"/>
  <c r="I31" i="11"/>
  <c r="H31" i="11"/>
  <c r="H30" i="11"/>
  <c r="H29" i="11"/>
  <c r="H28" i="11"/>
  <c r="H27" i="11"/>
  <c r="H26" i="11"/>
  <c r="H25" i="11"/>
  <c r="H21" i="11"/>
  <c r="H20" i="11"/>
  <c r="H19" i="11"/>
  <c r="H18" i="11"/>
  <c r="H17" i="11"/>
  <c r="H16" i="11"/>
  <c r="H15" i="11"/>
  <c r="H14" i="11"/>
  <c r="H13" i="11"/>
  <c r="H12" i="11"/>
  <c r="G21" i="11"/>
  <c r="G20" i="11"/>
  <c r="G19" i="11"/>
  <c r="G18" i="11"/>
  <c r="G17" i="11"/>
  <c r="G16" i="11"/>
  <c r="G15" i="11"/>
  <c r="G14" i="11"/>
  <c r="G13" i="11"/>
  <c r="G12" i="11"/>
  <c r="K38" i="18"/>
  <c r="J38" i="18"/>
  <c r="I38" i="18"/>
  <c r="H38" i="18"/>
  <c r="K37" i="18"/>
  <c r="J37" i="18"/>
  <c r="I37" i="18"/>
  <c r="H37" i="18"/>
  <c r="K34" i="18"/>
  <c r="J34" i="18"/>
  <c r="I34" i="18"/>
  <c r="H34" i="18"/>
  <c r="K33" i="18"/>
  <c r="J33" i="18"/>
  <c r="I33" i="18"/>
  <c r="H33" i="18"/>
  <c r="K31" i="18"/>
  <c r="J31" i="18"/>
  <c r="I31" i="18"/>
  <c r="H31" i="18"/>
  <c r="K30" i="18"/>
  <c r="J30" i="18"/>
  <c r="I30" i="18"/>
  <c r="H30" i="18"/>
  <c r="J29" i="18"/>
  <c r="I29" i="18"/>
  <c r="H29" i="18"/>
  <c r="K28" i="18"/>
  <c r="J28" i="18"/>
  <c r="I28" i="18"/>
  <c r="H28" i="18"/>
  <c r="J27" i="18"/>
  <c r="I27" i="18"/>
  <c r="H27" i="18"/>
  <c r="K22" i="18"/>
  <c r="J22" i="18"/>
  <c r="I22" i="18"/>
  <c r="H22" i="18"/>
  <c r="K21" i="18"/>
  <c r="J21" i="18"/>
  <c r="I21" i="18"/>
  <c r="H21" i="18"/>
  <c r="K18" i="18"/>
  <c r="J18" i="18"/>
  <c r="I18" i="18"/>
  <c r="H18" i="18"/>
  <c r="K17" i="18"/>
  <c r="J17" i="18"/>
  <c r="I17" i="18"/>
  <c r="H17" i="18"/>
  <c r="K15" i="18"/>
  <c r="J15" i="18"/>
  <c r="I15" i="18"/>
  <c r="H15" i="18"/>
  <c r="K14" i="18"/>
  <c r="J14" i="18"/>
  <c r="I14" i="18"/>
  <c r="H14" i="18"/>
  <c r="J13" i="18"/>
  <c r="I13" i="18"/>
  <c r="H13" i="18"/>
  <c r="K12" i="18"/>
  <c r="J12" i="18"/>
  <c r="I12" i="18"/>
  <c r="H12" i="18"/>
  <c r="J11" i="18"/>
  <c r="I11" i="18"/>
  <c r="H11" i="18"/>
  <c r="P23" i="21"/>
  <c r="P22" i="21"/>
  <c r="P21" i="21"/>
  <c r="P20" i="21"/>
  <c r="P19" i="21"/>
  <c r="P18" i="21"/>
  <c r="P17" i="21"/>
  <c r="P16" i="21"/>
  <c r="P15" i="21"/>
  <c r="P14" i="21"/>
  <c r="P13" i="21"/>
  <c r="P12" i="21"/>
  <c r="P11" i="21"/>
  <c r="P10" i="21"/>
  <c r="D13" i="20" l="1"/>
  <c r="D12" i="20"/>
  <c r="D11" i="20"/>
  <c r="D10" i="20"/>
  <c r="D14" i="20"/>
  <c r="C14" i="20"/>
  <c r="C13" i="20"/>
  <c r="C12" i="20"/>
  <c r="C11" i="20"/>
  <c r="C10" i="20"/>
  <c r="S30" i="20"/>
  <c r="S29" i="20"/>
  <c r="S28" i="20"/>
  <c r="S27" i="20"/>
  <c r="S26" i="20"/>
  <c r="S25" i="20"/>
  <c r="S24" i="20"/>
  <c r="S23" i="20"/>
  <c r="S22" i="20"/>
  <c r="S21" i="20"/>
  <c r="S20" i="20"/>
  <c r="S19" i="20"/>
  <c r="S18" i="20"/>
  <c r="S17" i="20"/>
  <c r="S16" i="20"/>
  <c r="S15" i="20"/>
  <c r="S14" i="20"/>
  <c r="S13" i="20"/>
  <c r="S12" i="20"/>
  <c r="S11" i="20"/>
  <c r="S10" i="20"/>
  <c r="D15" i="5"/>
  <c r="D18" i="4"/>
  <c r="C18" i="4"/>
  <c r="C33" i="4"/>
  <c r="C32" i="4"/>
  <c r="C31" i="4"/>
  <c r="C30" i="4"/>
  <c r="C29" i="4"/>
  <c r="D33" i="4"/>
  <c r="D32" i="4"/>
  <c r="D31" i="4"/>
  <c r="D30" i="4"/>
  <c r="D29" i="4"/>
  <c r="C15" i="4"/>
  <c r="C13" i="4"/>
  <c r="C12" i="4"/>
  <c r="C11" i="4"/>
  <c r="D15" i="4"/>
  <c r="D11" i="4"/>
  <c r="C11" i="3"/>
  <c r="D15" i="3"/>
  <c r="C15" i="3"/>
  <c r="D14" i="3"/>
  <c r="C14" i="3"/>
  <c r="D13" i="3"/>
  <c r="C13" i="3"/>
  <c r="D12" i="3"/>
  <c r="C12" i="3"/>
  <c r="D11" i="3"/>
  <c r="D33" i="3"/>
  <c r="C33" i="3"/>
  <c r="D32" i="3"/>
  <c r="C32" i="3"/>
  <c r="D31" i="3"/>
  <c r="C31" i="3"/>
  <c r="D30" i="3"/>
  <c r="C30" i="3"/>
  <c r="D29" i="3"/>
  <c r="C29" i="3"/>
  <c r="N10" i="5"/>
  <c r="N11" i="5"/>
  <c r="D31" i="5"/>
  <c r="D30" i="5"/>
  <c r="D29" i="5"/>
  <c r="D28" i="5"/>
  <c r="D27" i="5"/>
  <c r="C31" i="5"/>
  <c r="C30" i="5"/>
  <c r="C29" i="5"/>
  <c r="C28" i="5"/>
  <c r="C27" i="5"/>
  <c r="D16" i="5"/>
  <c r="C16" i="5"/>
  <c r="C15" i="5"/>
  <c r="D14" i="5"/>
  <c r="C14" i="5"/>
  <c r="D13" i="5"/>
  <c r="C13" i="5"/>
  <c r="D12" i="5"/>
  <c r="C12" i="5"/>
  <c r="D11" i="5"/>
  <c r="C11" i="5"/>
  <c r="O24" i="21" l="1"/>
  <c r="I16" i="21"/>
  <c r="G14" i="21"/>
  <c r="H16" i="21"/>
  <c r="G16" i="21"/>
  <c r="J11" i="21"/>
  <c r="E11" i="21"/>
  <c r="E16" i="21"/>
  <c r="K13" i="21"/>
  <c r="I11" i="21"/>
  <c r="H13" i="21"/>
  <c r="J13" i="21"/>
  <c r="H11" i="21"/>
  <c r="J15" i="21"/>
  <c r="K15" i="21"/>
  <c r="I13" i="21"/>
  <c r="G11" i="21"/>
  <c r="K17" i="21"/>
  <c r="I15" i="21"/>
  <c r="G13" i="21"/>
  <c r="J17" i="21"/>
  <c r="H15" i="21"/>
  <c r="E13" i="21"/>
  <c r="K10" i="21"/>
  <c r="I17" i="21"/>
  <c r="G15" i="21"/>
  <c r="J10" i="21"/>
  <c r="E14" i="21"/>
  <c r="H17" i="21"/>
  <c r="E15" i="21"/>
  <c r="K12" i="21"/>
  <c r="I10" i="21"/>
  <c r="G17" i="21"/>
  <c r="J12" i="21"/>
  <c r="H10" i="21"/>
  <c r="K11" i="21"/>
  <c r="E17" i="21"/>
  <c r="K14" i="21"/>
  <c r="I12" i="21"/>
  <c r="G10" i="21"/>
  <c r="E12" i="21"/>
  <c r="J14" i="21"/>
  <c r="H12" i="21"/>
  <c r="E10" i="21"/>
  <c r="H14" i="21"/>
  <c r="K16" i="21"/>
  <c r="I14" i="21"/>
  <c r="G12" i="21"/>
  <c r="J16" i="21"/>
  <c r="R32" i="20"/>
  <c r="E12" i="20" s="1"/>
  <c r="N12" i="20" s="1"/>
  <c r="D32" i="5"/>
  <c r="C32" i="5"/>
  <c r="E25" i="5"/>
  <c r="E9" i="5"/>
  <c r="Q10" i="4"/>
  <c r="Q11" i="4"/>
  <c r="E27" i="3"/>
  <c r="E27" i="4"/>
  <c r="E9" i="4"/>
  <c r="D14" i="4"/>
  <c r="D13" i="4"/>
  <c r="D12" i="4"/>
  <c r="C14" i="4"/>
  <c r="O11" i="19"/>
  <c r="O10" i="19"/>
  <c r="I12" i="20" l="1"/>
  <c r="J12" i="20"/>
  <c r="E11" i="20"/>
  <c r="K11" i="20" s="1"/>
  <c r="E10" i="20"/>
  <c r="G10" i="20" s="1"/>
  <c r="E14" i="20"/>
  <c r="M14" i="20" s="1"/>
  <c r="H10" i="20"/>
  <c r="K10" i="20"/>
  <c r="G12" i="20"/>
  <c r="L12" i="20"/>
  <c r="I10" i="20"/>
  <c r="L10" i="20"/>
  <c r="N10" i="20"/>
  <c r="M10" i="20"/>
  <c r="H12" i="20"/>
  <c r="K12" i="20"/>
  <c r="M12" i="20"/>
  <c r="E13" i="20"/>
  <c r="H13" i="20" s="1"/>
  <c r="K13" i="20"/>
  <c r="I13" i="20"/>
  <c r="J10" i="20"/>
  <c r="J11" i="20"/>
  <c r="L11" i="20"/>
  <c r="G14" i="20"/>
  <c r="H14" i="20"/>
  <c r="I14" i="20"/>
  <c r="J14" i="20"/>
  <c r="N14" i="20"/>
  <c r="L14" i="20"/>
  <c r="H11" i="20"/>
  <c r="M11" i="20"/>
  <c r="N11" i="20"/>
  <c r="I11" i="20"/>
  <c r="N13" i="19"/>
  <c r="K14" i="20" l="1"/>
  <c r="G11" i="20"/>
  <c r="L13" i="20"/>
  <c r="G13" i="20"/>
  <c r="N13" i="20"/>
  <c r="M13" i="20"/>
  <c r="J13" i="20"/>
  <c r="J12" i="19"/>
  <c r="D12" i="19"/>
  <c r="D10" i="19"/>
  <c r="I12" i="19"/>
  <c r="I11" i="19"/>
  <c r="H12" i="19"/>
  <c r="H11" i="19"/>
  <c r="I10" i="19"/>
  <c r="H10" i="19"/>
  <c r="D11" i="19"/>
  <c r="J11" i="19"/>
  <c r="G12" i="19"/>
  <c r="G10" i="19"/>
  <c r="F12" i="19"/>
  <c r="F11" i="19"/>
  <c r="J10" i="19"/>
  <c r="F10" i="19"/>
  <c r="G11" i="19"/>
  <c r="R18" i="6" l="1"/>
  <c r="R17" i="6"/>
  <c r="L18" i="16" l="1"/>
  <c r="L21" i="16"/>
  <c r="L20" i="16"/>
  <c r="L19" i="16"/>
  <c r="L17" i="16"/>
  <c r="L16" i="16"/>
  <c r="L15" i="16"/>
  <c r="L14" i="16"/>
  <c r="L13" i="16"/>
  <c r="L12" i="16"/>
  <c r="L11" i="16"/>
  <c r="I19" i="17"/>
  <c r="I18" i="17"/>
  <c r="I17" i="17"/>
  <c r="I16" i="17"/>
  <c r="I15" i="17"/>
  <c r="I14" i="17"/>
  <c r="I13" i="17"/>
  <c r="I12" i="17"/>
  <c r="I11" i="17"/>
  <c r="I10" i="17"/>
  <c r="I15" i="13"/>
  <c r="I14" i="13"/>
  <c r="I13" i="13"/>
  <c r="I12" i="13"/>
  <c r="T30" i="14"/>
  <c r="T29" i="14"/>
  <c r="T28" i="14"/>
  <c r="T27" i="14"/>
  <c r="T26" i="14"/>
  <c r="T25" i="14"/>
  <c r="T24" i="14"/>
  <c r="T23" i="14"/>
  <c r="T22" i="14"/>
  <c r="T21" i="14"/>
  <c r="T20" i="14"/>
  <c r="T19" i="14"/>
  <c r="T18" i="14"/>
  <c r="T17" i="14"/>
  <c r="T16" i="14"/>
  <c r="T15" i="14"/>
  <c r="T14" i="14"/>
  <c r="T13" i="14"/>
  <c r="T12" i="14"/>
  <c r="T11" i="14"/>
  <c r="R34" i="6"/>
  <c r="R33" i="6"/>
  <c r="R32" i="6"/>
  <c r="R31" i="6"/>
  <c r="R30" i="6"/>
  <c r="R29" i="6"/>
  <c r="R28" i="6"/>
  <c r="R27" i="6"/>
  <c r="R26" i="6"/>
  <c r="R25" i="6"/>
  <c r="R24" i="6"/>
  <c r="R23" i="6"/>
  <c r="R21" i="6"/>
  <c r="R20" i="6"/>
  <c r="R19" i="6"/>
  <c r="R16" i="6"/>
  <c r="R15" i="6"/>
  <c r="R14" i="6"/>
  <c r="R13" i="6"/>
  <c r="R12" i="6"/>
  <c r="R11" i="6"/>
  <c r="N21" i="5"/>
  <c r="N20" i="5"/>
  <c r="N19" i="5"/>
  <c r="N18" i="5"/>
  <c r="Q32" i="4"/>
  <c r="Q31" i="4"/>
  <c r="Q30" i="4"/>
  <c r="Q29" i="4"/>
  <c r="Q28" i="4"/>
  <c r="Q27" i="4"/>
  <c r="Q26" i="4"/>
  <c r="Q25" i="4"/>
  <c r="Q24" i="4"/>
  <c r="Q23" i="4"/>
  <c r="Q22" i="4"/>
  <c r="Q21" i="4"/>
  <c r="Q19" i="4"/>
  <c r="Q18" i="4"/>
  <c r="Q17" i="4"/>
  <c r="Q16" i="4"/>
  <c r="Q15" i="4"/>
  <c r="Q14" i="4"/>
  <c r="Q13" i="4"/>
  <c r="Q12" i="4"/>
  <c r="Q31" i="3"/>
  <c r="Q30" i="3"/>
  <c r="Q29" i="3"/>
  <c r="Q28" i="3"/>
  <c r="Q27" i="3"/>
  <c r="Q26" i="3"/>
  <c r="Q25" i="3"/>
  <c r="Q24" i="3"/>
  <c r="Q23" i="3"/>
  <c r="Q22" i="3"/>
  <c r="Q21" i="3"/>
  <c r="Q20" i="3"/>
  <c r="Q18" i="3"/>
  <c r="Q17" i="3"/>
  <c r="Q16" i="3"/>
  <c r="Q15" i="3"/>
  <c r="Q14" i="3"/>
  <c r="Q13" i="3"/>
  <c r="Q12" i="3"/>
  <c r="Q11" i="3"/>
  <c r="Q10" i="3"/>
  <c r="T28" i="2"/>
  <c r="T25" i="2" l="1"/>
  <c r="T24" i="2"/>
  <c r="T22" i="2"/>
  <c r="I19" i="13" l="1"/>
  <c r="I18" i="13"/>
  <c r="I17" i="13"/>
  <c r="I16" i="13"/>
  <c r="I11" i="13"/>
  <c r="I10" i="13"/>
  <c r="L10" i="16"/>
  <c r="H21" i="13" l="1"/>
  <c r="H21" i="17"/>
  <c r="C17" i="17" l="1"/>
  <c r="C15" i="17"/>
  <c r="C14" i="17"/>
  <c r="C12" i="17"/>
  <c r="C19" i="17"/>
  <c r="C11" i="17"/>
  <c r="C21" i="17"/>
  <c r="C20" i="17"/>
  <c r="C16" i="17"/>
  <c r="C13" i="17"/>
  <c r="C10" i="17"/>
  <c r="C18" i="17"/>
  <c r="D17" i="13"/>
  <c r="D16" i="13"/>
  <c r="D15" i="13"/>
  <c r="D14" i="13"/>
  <c r="D13" i="13"/>
  <c r="D12" i="13"/>
  <c r="D11" i="13"/>
  <c r="D10" i="13"/>
  <c r="C17" i="13"/>
  <c r="C15" i="13"/>
  <c r="C13" i="13"/>
  <c r="C11" i="13"/>
  <c r="C16" i="13"/>
  <c r="C14" i="13"/>
  <c r="C12" i="13"/>
  <c r="C10" i="13"/>
  <c r="K23" i="16"/>
  <c r="F16" i="16" s="1"/>
  <c r="E25" i="12"/>
  <c r="D25" i="12"/>
  <c r="C25" i="12"/>
  <c r="O11" i="7"/>
  <c r="O10" i="7"/>
  <c r="T31" i="2"/>
  <c r="T30" i="2"/>
  <c r="T29" i="2"/>
  <c r="T27" i="2"/>
  <c r="T26" i="2"/>
  <c r="T23" i="2"/>
  <c r="T21" i="2"/>
  <c r="T20" i="2"/>
  <c r="T18" i="2"/>
  <c r="T17" i="2"/>
  <c r="T16" i="2"/>
  <c r="T15" i="2"/>
  <c r="T14" i="2"/>
  <c r="T13" i="2"/>
  <c r="T12" i="2"/>
  <c r="T11" i="2"/>
  <c r="T10" i="2"/>
  <c r="N16" i="5"/>
  <c r="N15" i="5"/>
  <c r="N14" i="5"/>
  <c r="D19" i="7"/>
  <c r="D18" i="7"/>
  <c r="D17" i="7"/>
  <c r="C19" i="7"/>
  <c r="C18" i="7"/>
  <c r="C17" i="7"/>
  <c r="E39" i="12"/>
  <c r="E37" i="12"/>
  <c r="E35" i="12"/>
  <c r="D39" i="12"/>
  <c r="D37" i="12"/>
  <c r="D35" i="12"/>
  <c r="C39" i="12"/>
  <c r="C37" i="12"/>
  <c r="C35" i="12"/>
  <c r="F11" i="16" l="1"/>
  <c r="G18" i="16"/>
  <c r="G14" i="16"/>
  <c r="C11" i="16"/>
  <c r="C14" i="16"/>
  <c r="C17" i="16"/>
  <c r="E11" i="16"/>
  <c r="E13" i="16"/>
  <c r="F10" i="16"/>
  <c r="E15" i="16"/>
  <c r="G11" i="16"/>
  <c r="E17" i="16"/>
  <c r="E14" i="16"/>
  <c r="C12" i="16"/>
  <c r="F13" i="16"/>
  <c r="F18" i="16"/>
  <c r="E16" i="16"/>
  <c r="F17" i="16"/>
  <c r="G15" i="16"/>
  <c r="G10" i="16"/>
  <c r="G16" i="16"/>
  <c r="G12" i="16"/>
  <c r="G13" i="16"/>
  <c r="E18" i="16"/>
  <c r="E12" i="16"/>
  <c r="F14" i="16"/>
  <c r="G17" i="16"/>
  <c r="F12" i="16"/>
  <c r="C10" i="16"/>
  <c r="C15" i="16"/>
  <c r="C13" i="16"/>
  <c r="E10" i="16"/>
  <c r="C16" i="16"/>
  <c r="C18" i="16"/>
  <c r="F15" i="16"/>
  <c r="N13" i="7"/>
  <c r="E24" i="12"/>
  <c r="E26" i="12"/>
  <c r="E27" i="12"/>
  <c r="D27" i="12"/>
  <c r="D26" i="12"/>
  <c r="D24" i="12"/>
  <c r="C27" i="12"/>
  <c r="C26" i="12"/>
  <c r="C24" i="12"/>
  <c r="J11" i="12"/>
  <c r="D10" i="7"/>
  <c r="C10" i="7"/>
  <c r="C12" i="14"/>
  <c r="C12" i="6"/>
  <c r="E10" i="14"/>
  <c r="H10" i="7" l="1"/>
  <c r="G10" i="7"/>
  <c r="E10" i="7"/>
  <c r="I10" i="7"/>
  <c r="J10" i="7"/>
  <c r="S32" i="14"/>
  <c r="M14" i="14" s="1"/>
  <c r="J13" i="12"/>
  <c r="J12" i="12"/>
  <c r="J10" i="12"/>
  <c r="J9" i="12"/>
  <c r="J8" i="12"/>
  <c r="H11" i="7" l="1"/>
  <c r="G11" i="7"/>
  <c r="E11" i="7"/>
  <c r="J11" i="7"/>
  <c r="I11" i="7"/>
  <c r="G12" i="7"/>
  <c r="E12" i="7"/>
  <c r="H12" i="7"/>
  <c r="J12" i="7"/>
  <c r="I12" i="7"/>
  <c r="I15" i="12"/>
  <c r="I25" i="12" s="1"/>
  <c r="G15" i="14"/>
  <c r="G13" i="14"/>
  <c r="E13" i="14"/>
  <c r="E14" i="14"/>
  <c r="K14" i="14"/>
  <c r="H14" i="14"/>
  <c r="L16" i="14"/>
  <c r="N15" i="14"/>
  <c r="N19" i="14"/>
  <c r="L14" i="14"/>
  <c r="H13" i="14"/>
  <c r="L12" i="14"/>
  <c r="K12" i="14"/>
  <c r="M13" i="14"/>
  <c r="I12" i="14"/>
  <c r="H15" i="14"/>
  <c r="E19" i="14"/>
  <c r="I13" i="14"/>
  <c r="M12" i="14"/>
  <c r="J19" i="14"/>
  <c r="J12" i="14"/>
  <c r="O14" i="14"/>
  <c r="K13" i="14"/>
  <c r="N12" i="14"/>
  <c r="M16" i="14"/>
  <c r="H16" i="14"/>
  <c r="N14" i="14"/>
  <c r="H12" i="14"/>
  <c r="O16" i="14"/>
  <c r="K15" i="14"/>
  <c r="E12" i="14"/>
  <c r="M19" i="14"/>
  <c r="L15" i="14"/>
  <c r="H19" i="14"/>
  <c r="J16" i="14"/>
  <c r="L19" i="14"/>
  <c r="J14" i="14"/>
  <c r="I14" i="14"/>
  <c r="N16" i="14"/>
  <c r="K16" i="14"/>
  <c r="J15" i="14"/>
  <c r="I15" i="14"/>
  <c r="J13" i="14"/>
  <c r="K19" i="14"/>
  <c r="L13" i="14"/>
  <c r="O12" i="14"/>
  <c r="G12" i="14"/>
  <c r="G16" i="14"/>
  <c r="G14" i="14"/>
  <c r="M15" i="14"/>
  <c r="I19" i="14"/>
  <c r="O19" i="14"/>
  <c r="G19" i="14"/>
  <c r="O15" i="14"/>
  <c r="I16" i="14"/>
  <c r="O13" i="14"/>
  <c r="N13" i="14"/>
  <c r="E16" i="14"/>
  <c r="E15" i="14"/>
  <c r="N12" i="5"/>
  <c r="N13" i="5"/>
  <c r="N17" i="5"/>
  <c r="E9" i="7"/>
  <c r="E10" i="6"/>
  <c r="E9" i="3"/>
  <c r="E9" i="2"/>
  <c r="I36" i="12" l="1"/>
  <c r="I35" i="12"/>
  <c r="H36" i="12"/>
  <c r="H35" i="12"/>
  <c r="I26" i="12"/>
  <c r="I24" i="12"/>
  <c r="H26" i="12"/>
  <c r="H24" i="12"/>
  <c r="H25" i="12"/>
  <c r="D16" i="12"/>
  <c r="D15" i="12"/>
  <c r="D14" i="12"/>
  <c r="D13" i="12"/>
  <c r="D12" i="12"/>
  <c r="D11" i="12"/>
  <c r="D10" i="12"/>
  <c r="D9" i="12"/>
  <c r="D8" i="12"/>
  <c r="C11" i="12"/>
  <c r="C16" i="12"/>
  <c r="C15" i="12"/>
  <c r="C14" i="12"/>
  <c r="C8" i="12"/>
  <c r="C13" i="12"/>
  <c r="E8" i="12"/>
  <c r="C12" i="12"/>
  <c r="C10" i="12"/>
  <c r="C9" i="12"/>
  <c r="M23" i="5"/>
  <c r="Q36" i="6"/>
  <c r="P34" i="4"/>
  <c r="P33" i="3"/>
  <c r="S33" i="2"/>
  <c r="I18" i="2" s="1"/>
  <c r="L33" i="3" l="1"/>
  <c r="L32" i="3"/>
  <c r="K32" i="3"/>
  <c r="J32" i="3"/>
  <c r="I32" i="3"/>
  <c r="G31" i="3"/>
  <c r="L30" i="3"/>
  <c r="K30" i="3"/>
  <c r="J36" i="3"/>
  <c r="H29" i="3"/>
  <c r="I36" i="3"/>
  <c r="I29" i="3"/>
  <c r="H36" i="3"/>
  <c r="L36" i="3"/>
  <c r="I33" i="3"/>
  <c r="H33" i="3"/>
  <c r="G33" i="3"/>
  <c r="E33" i="3"/>
  <c r="E29" i="3"/>
  <c r="E36" i="3"/>
  <c r="I31" i="3"/>
  <c r="I30" i="3"/>
  <c r="J33" i="3"/>
  <c r="K31" i="3"/>
  <c r="K29" i="3"/>
  <c r="J29" i="3"/>
  <c r="G32" i="3"/>
  <c r="G36" i="3"/>
  <c r="K33" i="3"/>
  <c r="K36" i="3"/>
  <c r="E31" i="3"/>
  <c r="E30" i="3"/>
  <c r="L29" i="3"/>
  <c r="G29" i="3"/>
  <c r="J31" i="3"/>
  <c r="G30" i="3"/>
  <c r="H31" i="3"/>
  <c r="E32" i="3"/>
  <c r="L31" i="3"/>
  <c r="H30" i="3"/>
  <c r="H32" i="3"/>
  <c r="J30" i="3"/>
  <c r="H27" i="5"/>
  <c r="G16" i="5"/>
  <c r="G27" i="5"/>
  <c r="E27" i="5"/>
  <c r="H31" i="5"/>
  <c r="I31" i="5"/>
  <c r="I16" i="5"/>
  <c r="E15" i="5"/>
  <c r="I30" i="5"/>
  <c r="I14" i="5"/>
  <c r="H30" i="5"/>
  <c r="E13" i="5"/>
  <c r="E16" i="5"/>
  <c r="H16" i="5"/>
  <c r="G30" i="5"/>
  <c r="I29" i="5"/>
  <c r="I27" i="5"/>
  <c r="E30" i="5"/>
  <c r="E29" i="5"/>
  <c r="G28" i="5"/>
  <c r="I15" i="5"/>
  <c r="G15" i="5"/>
  <c r="G29" i="5"/>
  <c r="H12" i="5"/>
  <c r="G12" i="5"/>
  <c r="E11" i="5"/>
  <c r="E31" i="5"/>
  <c r="I32" i="5"/>
  <c r="H28" i="5"/>
  <c r="E32" i="5"/>
  <c r="G32" i="5"/>
  <c r="H13" i="5"/>
  <c r="E12" i="5"/>
  <c r="E14" i="5"/>
  <c r="I12" i="5"/>
  <c r="H29" i="5"/>
  <c r="H11" i="5"/>
  <c r="I11" i="5"/>
  <c r="G31" i="5"/>
  <c r="I28" i="5"/>
  <c r="G14" i="5"/>
  <c r="H32" i="5"/>
  <c r="H15" i="5"/>
  <c r="I13" i="5"/>
  <c r="E28" i="5"/>
  <c r="G11" i="5"/>
  <c r="H14" i="5"/>
  <c r="G13" i="5"/>
  <c r="G12" i="4"/>
  <c r="H12" i="4"/>
  <c r="J14" i="4"/>
  <c r="K33" i="4"/>
  <c r="H33" i="4"/>
  <c r="I13" i="4"/>
  <c r="L14" i="4"/>
  <c r="E14" i="4"/>
  <c r="G14" i="4"/>
  <c r="I14" i="4"/>
  <c r="K14" i="4"/>
  <c r="E13" i="4"/>
  <c r="J13" i="4"/>
  <c r="K11" i="4"/>
  <c r="H14" i="4"/>
  <c r="L18" i="4"/>
  <c r="K15" i="4"/>
  <c r="J36" i="4"/>
  <c r="L33" i="4"/>
  <c r="K18" i="4"/>
  <c r="I12" i="4"/>
  <c r="I31" i="4"/>
  <c r="I36" i="4"/>
  <c r="E29" i="4"/>
  <c r="H29" i="4"/>
  <c r="E31" i="4"/>
  <c r="G13" i="4"/>
  <c r="H32" i="4"/>
  <c r="L29" i="4"/>
  <c r="J30" i="4"/>
  <c r="L13" i="4"/>
  <c r="K36" i="4"/>
  <c r="G33" i="4"/>
  <c r="K31" i="4"/>
  <c r="E11" i="4"/>
  <c r="L12" i="4"/>
  <c r="G11" i="4"/>
  <c r="G18" i="4"/>
  <c r="H36" i="4"/>
  <c r="J11" i="4"/>
  <c r="L31" i="4"/>
  <c r="J33" i="4"/>
  <c r="H18" i="4"/>
  <c r="I29" i="4"/>
  <c r="J31" i="4"/>
  <c r="E36" i="4"/>
  <c r="I33" i="4"/>
  <c r="E15" i="4"/>
  <c r="K12" i="4"/>
  <c r="H13" i="4"/>
  <c r="G30" i="4"/>
  <c r="L11" i="4"/>
  <c r="I15" i="4"/>
  <c r="E30" i="4"/>
  <c r="K32" i="4"/>
  <c r="G29" i="4"/>
  <c r="L32" i="4"/>
  <c r="L36" i="4"/>
  <c r="J15" i="4"/>
  <c r="E32" i="4"/>
  <c r="G15" i="4"/>
  <c r="E12" i="4"/>
  <c r="K13" i="4"/>
  <c r="G31" i="4"/>
  <c r="I11" i="4"/>
  <c r="H15" i="4"/>
  <c r="J18" i="4"/>
  <c r="G32" i="4"/>
  <c r="K30" i="4"/>
  <c r="H31" i="4"/>
  <c r="I18" i="4"/>
  <c r="E18" i="4"/>
  <c r="H30" i="4"/>
  <c r="J12" i="4"/>
  <c r="J29" i="4"/>
  <c r="J32" i="4"/>
  <c r="L15" i="4"/>
  <c r="H11" i="4"/>
  <c r="L30" i="4"/>
  <c r="K29" i="4"/>
  <c r="I30" i="4"/>
  <c r="I32" i="4"/>
  <c r="G36" i="4"/>
  <c r="E33" i="4"/>
  <c r="H15" i="6"/>
  <c r="K14" i="6"/>
  <c r="G16" i="6"/>
  <c r="J15" i="6"/>
  <c r="J19" i="6"/>
  <c r="H16" i="6"/>
  <c r="E16" i="6"/>
  <c r="L19" i="6"/>
  <c r="E14" i="6"/>
  <c r="L14" i="6"/>
  <c r="K12" i="6"/>
  <c r="L15" i="6"/>
  <c r="H13" i="6"/>
  <c r="I14" i="6"/>
  <c r="E15" i="6"/>
  <c r="K15" i="6"/>
  <c r="G13" i="6"/>
  <c r="J12" i="6"/>
  <c r="G19" i="6"/>
  <c r="J14" i="6"/>
  <c r="L13" i="6"/>
  <c r="M15" i="6"/>
  <c r="G14" i="6"/>
  <c r="H12" i="6"/>
  <c r="M12" i="6"/>
  <c r="K16" i="6"/>
  <c r="J16" i="6"/>
  <c r="K19" i="6"/>
  <c r="L16" i="6"/>
  <c r="H19" i="6"/>
  <c r="J13" i="6"/>
  <c r="I19" i="6"/>
  <c r="G12" i="6"/>
  <c r="H14" i="6"/>
  <c r="M16" i="6"/>
  <c r="I15" i="6"/>
  <c r="L12" i="6"/>
  <c r="E19" i="6"/>
  <c r="M19" i="6"/>
  <c r="K13" i="6"/>
  <c r="E12" i="6"/>
  <c r="I13" i="6"/>
  <c r="G15" i="6"/>
  <c r="M13" i="6"/>
  <c r="I16" i="6"/>
  <c r="E13" i="6"/>
  <c r="M14" i="6"/>
  <c r="I12" i="6"/>
  <c r="K14" i="3"/>
  <c r="E13" i="3"/>
  <c r="H15" i="3"/>
  <c r="L11" i="3"/>
  <c r="L12" i="3"/>
  <c r="H14" i="3"/>
  <c r="H18" i="3"/>
  <c r="I14" i="3"/>
  <c r="J18" i="3"/>
  <c r="G15" i="3"/>
  <c r="J13" i="3"/>
  <c r="J15" i="3"/>
  <c r="J11" i="3"/>
  <c r="I13" i="3"/>
  <c r="K11" i="3"/>
  <c r="I18" i="3"/>
  <c r="H12" i="3"/>
  <c r="K18" i="3"/>
  <c r="I11" i="3"/>
  <c r="J12" i="3"/>
  <c r="I15" i="3"/>
  <c r="K12" i="3"/>
  <c r="G11" i="3"/>
  <c r="G13" i="3"/>
  <c r="H13" i="3"/>
  <c r="G14" i="3"/>
  <c r="E11" i="3"/>
  <c r="I12" i="3"/>
  <c r="G18" i="3"/>
  <c r="L15" i="3"/>
  <c r="E14" i="3"/>
  <c r="E12" i="3"/>
  <c r="K15" i="3"/>
  <c r="G12" i="3"/>
  <c r="L14" i="3"/>
  <c r="L13" i="3"/>
  <c r="J14" i="3"/>
  <c r="L18" i="3"/>
  <c r="K13" i="3"/>
  <c r="E15" i="3"/>
  <c r="H11" i="3"/>
  <c r="E18" i="3"/>
  <c r="O12" i="2"/>
  <c r="E18" i="2"/>
  <c r="M18" i="2"/>
  <c r="N18" i="2"/>
  <c r="G18" i="2"/>
  <c r="O18" i="2"/>
  <c r="H18" i="2"/>
  <c r="J18" i="2"/>
  <c r="K18" i="2"/>
  <c r="L18" i="2"/>
  <c r="H13" i="2"/>
  <c r="K15" i="2"/>
  <c r="E14" i="2"/>
  <c r="O15" i="2"/>
  <c r="E11" i="2"/>
  <c r="J13" i="2"/>
  <c r="G15" i="2"/>
  <c r="K13" i="2"/>
  <c r="H15" i="2"/>
  <c r="H11" i="2"/>
  <c r="M14" i="2"/>
  <c r="J14" i="2"/>
  <c r="M13" i="2"/>
  <c r="I15" i="2"/>
  <c r="E12" i="2"/>
  <c r="E15" i="2"/>
  <c r="I13" i="2"/>
  <c r="H14" i="2"/>
  <c r="J11" i="2"/>
  <c r="I11" i="2"/>
  <c r="O13" i="2"/>
  <c r="I12" i="2"/>
  <c r="L12" i="2"/>
  <c r="E13" i="2"/>
  <c r="L13" i="2"/>
  <c r="O14" i="2"/>
  <c r="I14" i="2"/>
  <c r="O11" i="2"/>
  <c r="G11" i="2"/>
  <c r="L15" i="2"/>
  <c r="K11" i="2"/>
  <c r="G13" i="2"/>
  <c r="M11" i="2"/>
  <c r="J12" i="2"/>
  <c r="H12" i="2"/>
  <c r="G12" i="2"/>
  <c r="N15" i="2"/>
  <c r="K14" i="2"/>
  <c r="N12" i="2"/>
  <c r="L14" i="2"/>
  <c r="N13" i="2"/>
  <c r="M15" i="2"/>
  <c r="N11" i="2"/>
  <c r="L11" i="2"/>
  <c r="J15" i="2"/>
  <c r="N14" i="2"/>
  <c r="M12" i="2"/>
  <c r="G14" i="2"/>
  <c r="K12" i="2"/>
  <c r="C23" i="22"/>
  <c r="C22" i="22"/>
  <c r="C21" i="22"/>
  <c r="C20" i="22"/>
  <c r="C19" i="22"/>
  <c r="C18" i="22"/>
  <c r="C17" i="22"/>
  <c r="C16" i="22"/>
  <c r="C15" i="22"/>
  <c r="C14" i="22"/>
  <c r="C13" i="22"/>
  <c r="C12" i="22"/>
  <c r="C11" i="22"/>
  <c r="C10" i="22"/>
  <c r="C9"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S4" authorId="0" shapeId="0" xr:uid="{23C58ABE-01C9-4DD9-98B5-24488603E165}">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P4" authorId="0" shapeId="0" xr:uid="{1E5791D3-B9C9-46E0-A92C-101383A792B8}">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P4" authorId="0" shapeId="0" xr:uid="{E272E25A-053B-47F4-AE18-BE9CCDF238F9}">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M4" authorId="0" shapeId="0" xr:uid="{6D0A2ED2-55CB-4029-8522-CBE115EF723F}">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Q4" authorId="0" shapeId="0" xr:uid="{F160A331-576C-4C7E-AB7A-D14BE074CCE2}">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S4" authorId="0" shapeId="0" xr:uid="{92B787BF-2C30-4D56-BFD5-5A5581834BE3}">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S4" authorId="0" shapeId="0" xr:uid="{F67C5B18-7AE2-40E6-9435-986F6C334783}">
      <text>
        <r>
          <rPr>
            <sz val="11"/>
            <color theme="1"/>
            <rFont val="Calibri"/>
            <family val="2"/>
            <charset val="238"/>
          </rPr>
          <t xml:space="preserve">Marcin Bittner:
This is useful to quickly fill in your profit and take a screenshot to your potential client.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N4" authorId="0" shapeId="0" xr:uid="{76F8F0D0-5DD2-46A5-B2DA-C0B3BC7D8BF7}">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O4" authorId="0" shapeId="0" xr:uid="{6D4D8053-AB29-4176-A9F4-461D5B216428}">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N3" authorId="0" shapeId="0" xr:uid="{FFF1D80D-9C7B-43B9-B6CF-464EC5649764}">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R3" authorId="0" shapeId="0" xr:uid="{B8380598-7E29-4E71-8A76-279665913838}">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P3" authorId="0" shapeId="0" xr:uid="{E1A484FD-012B-4785-98F9-5AE3B03993AC}">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G3" authorId="0" shapeId="0" xr:uid="{A2B5C6D7-E8F9-4012-B345-C6D7E8F90123}">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M3" authorId="0" shapeId="0" xr:uid="{C5F34871-5B48-440C-89EA-DD9EFEED6318}">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I3" authorId="0" shapeId="0" xr:uid="{825893BC-153B-4478-94E2-7A4C372F49DE}">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H3" authorId="0" shapeId="0" xr:uid="{15C64F9E-C953-4B59-8698-F04F0C4CF661}">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H3" authorId="0" shapeId="0" xr:uid="{8CD38DF2-7E58-4653-824D-1FB4375DE4A4}">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Marcin Bittner</author>
  </authors>
  <commentList>
    <comment ref="K3" authorId="0" shapeId="0" xr:uid="{1A34799C-2794-484C-BE2E-021BC4EDBFE5}">
      <text>
        <r>
          <rPr>
            <b/>
            <sz val="9"/>
            <color indexed="81"/>
            <rFont val="Tahoma"/>
            <family val="2"/>
            <charset val="238"/>
          </rPr>
          <t>Marcin Bittner:</t>
        </r>
        <r>
          <rPr>
            <sz val="9"/>
            <color indexed="81"/>
            <rFont val="Tahoma"/>
            <family val="2"/>
            <charset val="238"/>
          </rPr>
          <t xml:space="preserve">
This is useful to quickly fill in your profit and take a screenshot to your potential client. </t>
        </r>
      </text>
    </comment>
  </commentList>
</comments>
</file>

<file path=xl/sharedStrings.xml><?xml version="1.0" encoding="utf-8"?>
<sst xmlns="http://schemas.openxmlformats.org/spreadsheetml/2006/main" count="1234" uniqueCount="417">
  <si>
    <t>Table of Contents</t>
  </si>
  <si>
    <t>ArtBooks - Matte Paper</t>
  </si>
  <si>
    <t>ArtBooks - Cotton Rag Paper</t>
  </si>
  <si>
    <t>ArtBooks - The Journal</t>
  </si>
  <si>
    <t>Personalisaton Chart</t>
  </si>
  <si>
    <t>AriaBooks - Classic</t>
  </si>
  <si>
    <t>AriaBooks - Slim</t>
  </si>
  <si>
    <t>PrimaBooks</t>
  </si>
  <si>
    <t>QT Pocket</t>
  </si>
  <si>
    <t>Prints</t>
  </si>
  <si>
    <t>Print Boxes</t>
  </si>
  <si>
    <t>How to use this Price Calculator</t>
  </si>
  <si>
    <t>Please fill in only fields marked in this color.</t>
  </si>
  <si>
    <t>Red triangle will mark fields with comments.</t>
  </si>
  <si>
    <t xml:space="preserve">After you add your profit margins, you could choose to take a screenshot of the pricing portion only and send it to your client. </t>
  </si>
  <si>
    <t>VAT</t>
  </si>
  <si>
    <t>There are ways to drop VAT from your order:</t>
  </si>
  <si>
    <t xml:space="preserve">You do not need to do anything. There is no VAT applied to your order. </t>
  </si>
  <si>
    <t>Is your business in European Union?</t>
  </si>
  <si>
    <t>Make sure your VAT ID passes the validation. There is no invoice attached to the package.</t>
  </si>
  <si>
    <t>CLICK HERE TO VALIDATE</t>
  </si>
  <si>
    <t xml:space="preserve">ArtBooks - Matte Paper </t>
  </si>
  <si>
    <t>CUSTOMISE PRICES</t>
  </si>
  <si>
    <t>spreads</t>
  </si>
  <si>
    <t xml:space="preserve">Minimum 10 spreads. </t>
  </si>
  <si>
    <t>The ArtBook is our flagship album and the most popular choice amongst discerning photographers.
The ArtBook is known worldwide for its enduring beauty, classic simplicity and luxury materials.
Our ArtBooks are hand-made by some of the finest album artisans in the world.</t>
  </si>
  <si>
    <t>Base Price Markup</t>
  </si>
  <si>
    <t>x times</t>
  </si>
  <si>
    <t>Input "1" for original product price</t>
  </si>
  <si>
    <t>Per Spread Markup</t>
  </si>
  <si>
    <t>Extras Markup</t>
  </si>
  <si>
    <r>
      <t xml:space="preserve">Input amount in the </t>
    </r>
    <r>
      <rPr>
        <i/>
        <sz val="8"/>
        <color theme="0" tint="-0.34998626667073579"/>
        <rFont val="Calibri"/>
        <family val="2"/>
      </rPr>
      <t>calculate for</t>
    </r>
    <r>
      <rPr>
        <sz val="8"/>
        <color theme="0" tint="-0.34998626667073579"/>
        <rFont val="Calibri"/>
        <family val="2"/>
      </rPr>
      <t xml:space="preserve"> field to the right</t>
    </r>
  </si>
  <si>
    <t>Your book with</t>
  </si>
  <si>
    <r>
      <t xml:space="preserve">Example spread count calculation. Includes </t>
    </r>
    <r>
      <rPr>
        <sz val="8"/>
        <color rgb="FF7030A0"/>
        <rFont val="Calibri"/>
        <family val="2"/>
        <charset val="238"/>
        <scheme val="minor"/>
      </rPr>
      <t>extras</t>
    </r>
  </si>
  <si>
    <t>Size cm</t>
  </si>
  <si>
    <t>Base Price EUR</t>
  </si>
  <si>
    <t>Addtl spread EUR</t>
  </si>
  <si>
    <r>
      <t xml:space="preserve">spreads
</t>
    </r>
    <r>
      <rPr>
        <sz val="6"/>
        <color theme="1"/>
        <rFont val="Calibri"/>
        <family val="2"/>
        <charset val="238"/>
        <scheme val="minor"/>
      </rPr>
      <t xml:space="preserve">with </t>
    </r>
    <r>
      <rPr>
        <b/>
        <sz val="6"/>
        <color rgb="FF7030A0"/>
        <rFont val="Calibri"/>
        <family val="2"/>
        <charset val="238"/>
        <scheme val="minor"/>
      </rPr>
      <t>extras</t>
    </r>
  </si>
  <si>
    <t>15 spreads</t>
  </si>
  <si>
    <t>20 spreads</t>
  </si>
  <si>
    <t>25 spreads</t>
  </si>
  <si>
    <t>30 spreads</t>
  </si>
  <si>
    <t>35 spreads</t>
  </si>
  <si>
    <t>40 spreads</t>
  </si>
  <si>
    <t>45 spreads</t>
  </si>
  <si>
    <t>50 spreads</t>
  </si>
  <si>
    <t>55 spreads (max)</t>
  </si>
  <si>
    <t>ADD EXTRAS</t>
  </si>
  <si>
    <t>Add to calulation? 
1 - YES, 0- NO</t>
  </si>
  <si>
    <t>Subtotal</t>
  </si>
  <si>
    <t>na</t>
  </si>
  <si>
    <t>Presentation Box - Kraft Paper</t>
  </si>
  <si>
    <t>15x15cm</t>
  </si>
  <si>
    <t>Presentation Box in Raw Natural Linen Fabric</t>
  </si>
  <si>
    <t>20x20cm</t>
  </si>
  <si>
    <t>Presentation Box in Matching Fabric</t>
  </si>
  <si>
    <t>20x30cm</t>
  </si>
  <si>
    <t>Presentation Box in Wood + Matching Fabric*</t>
  </si>
  <si>
    <t>25x25cm</t>
  </si>
  <si>
    <t>Leather Cover</t>
  </si>
  <si>
    <t>30x30cm</t>
  </si>
  <si>
    <t>CUSTOM</t>
  </si>
  <si>
    <t>Standard Embossing</t>
  </si>
  <si>
    <t>Duplicates in same size or smaller available at 30% off.</t>
  </si>
  <si>
    <t>Standard Endpapers (black/white)</t>
  </si>
  <si>
    <t>Cotton Rag Endpapers</t>
  </si>
  <si>
    <t>learn more</t>
  </si>
  <si>
    <t>Studio Logo</t>
  </si>
  <si>
    <t>* limited sizes (20x20/25x25/30x30cm)</t>
  </si>
  <si>
    <t>Extras Total</t>
  </si>
  <si>
    <t>Calculate for ..</t>
  </si>
  <si>
    <t>40 spreads (max)</t>
  </si>
  <si>
    <t>Look at PocketBooks for a low-cost parent book alternative.</t>
  </si>
  <si>
    <t>The Journal ArtBook</t>
  </si>
  <si>
    <t>25 spreads (max)</t>
  </si>
  <si>
    <t>Included in the base price: 10 spreads (20 pages) with select leather covers and optional foil embossing on top of page block. Addition of a presentation box includes linen dust pouch and presentation gloves.</t>
  </si>
  <si>
    <t>AriaBooks - Silver Halide Photo Paper - Classic</t>
  </si>
  <si>
    <t>Classic version with regular or thick pages</t>
  </si>
  <si>
    <r>
      <t xml:space="preserve">30 spreads
</t>
    </r>
    <r>
      <rPr>
        <b/>
        <sz val="8"/>
        <color theme="1"/>
        <rFont val="Calibri"/>
        <family val="2"/>
        <charset val="238"/>
        <scheme val="minor"/>
      </rPr>
      <t>(max for thick pages)</t>
    </r>
  </si>
  <si>
    <r>
      <t xml:space="preserve">55 spreads 
</t>
    </r>
    <r>
      <rPr>
        <b/>
        <sz val="8"/>
        <color theme="1"/>
        <rFont val="Calibri"/>
        <family val="2"/>
        <charset val="238"/>
        <scheme val="minor"/>
      </rPr>
      <t>(max for regular pages)</t>
    </r>
  </si>
  <si>
    <t>AriaBooks - Silver Halide Photo Paper - Slim</t>
  </si>
  <si>
    <t>55 spreads</t>
  </si>
  <si>
    <t>60 spreads</t>
  </si>
  <si>
    <r>
      <t>65 spreads</t>
    </r>
    <r>
      <rPr>
        <b/>
        <sz val="8"/>
        <color theme="1"/>
        <rFont val="Calibri"/>
        <family val="2"/>
        <charset val="238"/>
        <scheme val="minor"/>
      </rPr>
      <t xml:space="preserve"> </t>
    </r>
  </si>
  <si>
    <t>PrimaBook</t>
  </si>
  <si>
    <t>45 spreads (max)</t>
  </si>
  <si>
    <t>Presentation box in Wood + Matching Fabric</t>
  </si>
  <si>
    <t>Premade Embossing Stamp on the cover</t>
  </si>
  <si>
    <t xml:space="preserve">QT Pocket - Silver Halide Photo Paper </t>
  </si>
  <si>
    <t xml:space="preserve">Minimum 5 spreads. </t>
  </si>
  <si>
    <t>Example spread count calculation.</t>
  </si>
  <si>
    <r>
      <t xml:space="preserve">Includes </t>
    </r>
    <r>
      <rPr>
        <sz val="8"/>
        <color rgb="FF7030A0"/>
        <rFont val="Calibri"/>
        <family val="2"/>
        <charset val="238"/>
        <scheme val="minor"/>
      </rPr>
      <t>extras</t>
    </r>
  </si>
  <si>
    <t>10 spreads</t>
  </si>
  <si>
    <t>15x15cm x 1</t>
  </si>
  <si>
    <t>15x15cm x 3</t>
  </si>
  <si>
    <t>15x15cm x 5</t>
  </si>
  <si>
    <t>Input "1" for original price</t>
  </si>
  <si>
    <t xml:space="preserve"> We offer photographic and fine art prints in a variety of fine papers and finishes, as well as added opportunities for white borders, deckled-edges and matting.</t>
  </si>
  <si>
    <t>Size in (cm)</t>
  </si>
  <si>
    <t>Photographic Prints</t>
  </si>
  <si>
    <t>4x6" (10x15cm)</t>
  </si>
  <si>
    <t>4.5x6" (11.5x15cm)</t>
  </si>
  <si>
    <t>5x7" (13x18cm)</t>
  </si>
  <si>
    <t>6x8" (15x20cm)</t>
  </si>
  <si>
    <t>6x9" (15x23cm)</t>
  </si>
  <si>
    <t>7x10" (18x25cm)</t>
  </si>
  <si>
    <t>8x10" (20x25cm)</t>
  </si>
  <si>
    <t>8x12" (20x30cm)</t>
  </si>
  <si>
    <t>Size in</t>
  </si>
  <si>
    <t>4x6" print in 6x8" mat</t>
  </si>
  <si>
    <t>10x15cm print in 15x20 cm mat</t>
  </si>
  <si>
    <t>5x7" print in 8x10" mat</t>
  </si>
  <si>
    <t>13x18cm print in 20x25cm mat</t>
  </si>
  <si>
    <t>6x8" print in 8x10" mat</t>
  </si>
  <si>
    <t>15x20cm print in 20x25cm mat</t>
  </si>
  <si>
    <t>7x10" print in 11x14" mat</t>
  </si>
  <si>
    <t>18x25 cm print in 28x35cm mat</t>
  </si>
  <si>
    <t>8x10" print in 11x14" mat</t>
  </si>
  <si>
    <t>20x25cm print in 28x35cm mat</t>
  </si>
  <si>
    <t>8x12" print in 12x16" mat</t>
  </si>
  <si>
    <t>20x30 cm print in 30x40cm mat</t>
  </si>
  <si>
    <t>A timeless and elegant way of preserving your precious memories.</t>
  </si>
  <si>
    <t>Clamshell Print Box</t>
  </si>
  <si>
    <t>Clamshell + USB Compartment</t>
  </si>
  <si>
    <t>Wooden Print Box*</t>
  </si>
  <si>
    <t>Embossing - Standard Font</t>
  </si>
  <si>
    <t>Embossing - Predesigned Stamp</t>
  </si>
  <si>
    <t>Embossing - Custom Stamp</t>
  </si>
  <si>
    <t>plus cost of stamp - sold separately</t>
  </si>
  <si>
    <t>includes embossing or laser etching on USB</t>
  </si>
  <si>
    <t>8x12" 20x30cm)</t>
  </si>
  <si>
    <t>11x14" (28x35cm)</t>
  </si>
  <si>
    <t>*Wooden Print Box includes USB compartment, but not USB stick. Box lid personalization is limited to Gold Standard Embossing or Custom Stamp.</t>
  </si>
  <si>
    <t>Perfect for display on a desk, shelf or mantle. Folios are available in versions that hold your choice of 2 or 3 photos printed on Photographic Fuji Lustre Paper or Fine Art Cotton Rag paper.</t>
  </si>
  <si>
    <t>Personalisation Chart</t>
  </si>
  <si>
    <t xml:space="preserve"> Please refer to the up-to-date chart here: https://www.qtalbums.com/saleskit-personalization-chart</t>
  </si>
  <si>
    <t>Album Copies</t>
  </si>
  <si>
    <t>FLAT RATE ALBUM COPIES - see pricing.
Look at PocketBooks for another low-cost parent book alternative.
Other duplicate discounts also available.</t>
  </si>
  <si>
    <t>Flat Rate Album Copies</t>
  </si>
  <si>
    <t>Main Album
(AriaBook or ArtBook)</t>
  </si>
  <si>
    <t># of Copies</t>
  </si>
  <si>
    <t>Flat Rate Price</t>
  </si>
  <si>
    <t>with kraft box</t>
  </si>
  <si>
    <t>+</t>
  </si>
  <si>
    <t>30x30 cm</t>
  </si>
  <si>
    <t>25x25 cm</t>
  </si>
  <si>
    <t>20x20 cm</t>
  </si>
  <si>
    <t>1x 30x30</t>
  </si>
  <si>
    <t>2x 30x30</t>
  </si>
  <si>
    <t>1x 25x25</t>
  </si>
  <si>
    <t>2x 25x25</t>
  </si>
  <si>
    <t>1x 20x20</t>
  </si>
  <si>
    <t>2x 20x20</t>
  </si>
  <si>
    <t>1x 20x30</t>
  </si>
  <si>
    <t>2x 20x30</t>
  </si>
  <si>
    <t>Overprint</t>
  </si>
  <si>
    <t>1 Piece</t>
  </si>
  <si>
    <t>Set of 3</t>
  </si>
  <si>
    <t>Set of 5</t>
  </si>
  <si>
    <t>NEW! Clamshell Window Box</t>
  </si>
  <si>
    <t>for MATTED PRINTS</t>
  </si>
  <si>
    <t>10x15cm in 15x20cm</t>
  </si>
  <si>
    <t>for NEW! MOUNTED PRINTS</t>
  </si>
  <si>
    <t>14x21cm</t>
  </si>
  <si>
    <t>4x6" Print in 6x8" Mat</t>
  </si>
  <si>
    <t>13x18cm in 20x25cm</t>
  </si>
  <si>
    <t>5x7" Print in 8x10" Mat</t>
  </si>
  <si>
    <t>7x10" Print in 11x14" Mat</t>
  </si>
  <si>
    <t>18x25cm in 28x35cm</t>
  </si>
  <si>
    <t>*Price for box only. Prints sold separately.</t>
  </si>
  <si>
    <t>Box To Fit
MOUNTED
Prints Sized</t>
  </si>
  <si>
    <t>Box To Fit
MATTED
Prints Sized</t>
  </si>
  <si>
    <t>5.5"x8.25" (14x21cm)</t>
  </si>
  <si>
    <t>10x10" (25x25cm)</t>
  </si>
  <si>
    <t>Included in the base price: 5 spreads (10 pages) with fabric cover and signature heart-shape embossed in gold (optional).</t>
  </si>
  <si>
    <t>Photo Pocket (5 or 10 spreads only)</t>
  </si>
  <si>
    <t>5 Spreads</t>
  </si>
  <si>
    <t>10 Spreads</t>
  </si>
  <si>
    <t>Hardcover Pockets</t>
  </si>
  <si>
    <t xml:space="preserve">Starting with just 5 spreads/10 pages and available in sets of 1, 3 or 5 books, QT Pocket books make fantastic little portrait books, gifts or can act as a cost-effective parent book alternative. </t>
  </si>
  <si>
    <t>Presentation Box in Matching Fabric - Clamshell</t>
  </si>
  <si>
    <t>Embossing on Box (Fabric)</t>
  </si>
  <si>
    <t>Spine Embossing</t>
  </si>
  <si>
    <t>Photo Panel Cover</t>
  </si>
  <si>
    <t>Cameo Cover</t>
  </si>
  <si>
    <r>
      <t xml:space="preserve">Prices in this calculator are presented without any taxes. By default we will add </t>
    </r>
    <r>
      <rPr>
        <b/>
        <sz val="11"/>
        <color theme="1"/>
        <rFont val="Calibri"/>
        <family val="2"/>
        <charset val="238"/>
        <scheme val="minor"/>
      </rPr>
      <t>Polish VAT</t>
    </r>
    <r>
      <rPr>
        <sz val="11"/>
        <color theme="1"/>
        <rFont val="Calibri"/>
        <family val="2"/>
        <charset val="238"/>
        <scheme val="minor"/>
      </rPr>
      <t xml:space="preserve"> on top in the shopping cart. </t>
    </r>
  </si>
  <si>
    <t>To drop VAT on all items, we need you to provide a VALID EU VAT during checkout. If it is valid, the cart will drop VAT automatically.</t>
  </si>
  <si>
    <t>Shipping</t>
  </si>
  <si>
    <t xml:space="preserve">No paperwork is attached to the package and there is no extra fee to drop-ship directly to your client. </t>
  </si>
  <si>
    <t>See worldwide rates</t>
  </si>
  <si>
    <t>See standard and expedited turnaround options</t>
  </si>
  <si>
    <t>Is your business located in UK, Switzerland, Norway or other non European Union countries?</t>
  </si>
  <si>
    <t>There is no invoice attached to the package. You are responsible for any import taxes or duties.</t>
  </si>
  <si>
    <t>Calculate for…</t>
  </si>
  <si>
    <t>Embossed Heart / Symbol</t>
  </si>
  <si>
    <t>Not compatible with embossing.</t>
  </si>
  <si>
    <t>Studio Logo Stamp (x1)</t>
  </si>
  <si>
    <t>Studio Logo Stamp (xALL)</t>
  </si>
  <si>
    <t>Wooden Stand (each)</t>
  </si>
  <si>
    <t>20x25cm</t>
  </si>
  <si>
    <t>5.5x8.25" (14x21cm)</t>
  </si>
  <si>
    <t>1x 15x15</t>
  </si>
  <si>
    <t>2x 15x15</t>
  </si>
  <si>
    <t>*15x15 cm</t>
  </si>
  <si>
    <t>NEW! Print Case</t>
  </si>
  <si>
    <t>Fits up to 20 prints</t>
  </si>
  <si>
    <t>NEW! Print Envelope</t>
  </si>
  <si>
    <t>Leather - Fits up to 20 prints</t>
  </si>
  <si>
    <t>Slip-in Matted Albums</t>
  </si>
  <si>
    <t>CUSTOMIZE PRICES</t>
  </si>
  <si>
    <t>Intended for DIY, these self-mount albums allow you to add your own prints and change them over time. Stock them in your studio for immediate delivery to clients and enjoy extra discounts on SETS.</t>
  </si>
  <si>
    <r>
      <t xml:space="preserve">Example page count calculation. Includes </t>
    </r>
    <r>
      <rPr>
        <sz val="8"/>
        <color rgb="FF7030A0"/>
        <rFont val="Calibri"/>
        <family val="2"/>
        <charset val="238"/>
        <scheme val="minor"/>
      </rPr>
      <t>extras</t>
    </r>
  </si>
  <si>
    <r>
      <t xml:space="preserve">MATS
</t>
    </r>
    <r>
      <rPr>
        <sz val="6"/>
        <color theme="1"/>
        <rFont val="Calibri"/>
        <family val="2"/>
        <charset val="238"/>
        <scheme val="minor"/>
      </rPr>
      <t xml:space="preserve">with </t>
    </r>
    <r>
      <rPr>
        <b/>
        <sz val="6"/>
        <color rgb="FF7030A0"/>
        <rFont val="Calibri"/>
        <family val="2"/>
        <charset val="238"/>
        <scheme val="minor"/>
      </rPr>
      <t>extras</t>
    </r>
  </si>
  <si>
    <t>10 Mats</t>
  </si>
  <si>
    <t>16 Mats</t>
  </si>
  <si>
    <t>20 Mats (max)</t>
  </si>
  <si>
    <t>QT Embossing Stamp (pre-made stamp)</t>
  </si>
  <si>
    <t>Premium Overprint (select materials)</t>
  </si>
  <si>
    <t>Custom Overprint (select materials)</t>
  </si>
  <si>
    <t>Discounted sets of 5 or 10 available.
Save even more! Extras are only added once per set.</t>
  </si>
  <si>
    <t>Set of 5 - 4x6" (10x15cm)</t>
  </si>
  <si>
    <t>Single - 4x6"(10x15cm)</t>
  </si>
  <si>
    <t>Set of 10 - 4x6" (10x15cm)</t>
  </si>
  <si>
    <t>Single - 5x7" (13x18cm)</t>
  </si>
  <si>
    <t>Set of 5 - 5x7" (13x18cm)</t>
  </si>
  <si>
    <t>Set of 10 - 5x7" (13x18cm)</t>
  </si>
  <si>
    <t>Single - 8x10" (20x25cm)</t>
  </si>
  <si>
    <t>Set of 5 - 8x10" (20x25cm)</t>
  </si>
  <si>
    <t>Set of 10 - 8x10" (20x25cm)</t>
  </si>
  <si>
    <t>PRINT Size in (cm)</t>
  </si>
  <si>
    <t>Studio Logo Embossing (requires stamp)</t>
  </si>
  <si>
    <t>Slip-in Matted Folios</t>
  </si>
  <si>
    <t>Matted Folios</t>
  </si>
  <si>
    <t>Intended for DIY, these self-mount folios allow you to add your own prints and change them over time. Stock them in your studio for immediate delivery to clients and enjoy extra discounts on SETS.</t>
  </si>
  <si>
    <t xml:space="preserve">Included in the base price: 2 or 3 EMPTY mats (1 mat holds 1 print), with basic fabric cover materials. </t>
  </si>
  <si>
    <t>Trifold (3 mats)</t>
  </si>
  <si>
    <t>Duo (2 mats)</t>
  </si>
  <si>
    <t>Single - 6x6" (15x15cm)</t>
  </si>
  <si>
    <t>Set of 5 - 6x6" (15x15cm)</t>
  </si>
  <si>
    <t>Set of 10 - 6x6" (15x15cm)</t>
  </si>
  <si>
    <t>Single - 6x9" (15x18cm)</t>
  </si>
  <si>
    <t>Set of 5 - 6x9" (15x18cm)</t>
  </si>
  <si>
    <t>Set of 10 - 6x9" (15x18cm)</t>
  </si>
  <si>
    <t>available in both vertical and horizontal formats</t>
  </si>
  <si>
    <t>Lustre - 4x6"(10x15cm)</t>
  </si>
  <si>
    <t>Cotton - 4x6" (10x15cm)</t>
  </si>
  <si>
    <t>Lustre - 5x7" (13x18cm)</t>
  </si>
  <si>
    <t>Lustre - 6x6" (15x15cm)</t>
  </si>
  <si>
    <t>Lustre - 6x9" (15x18cm)</t>
  </si>
  <si>
    <t>Cotton - 5x7" (13x18cm)</t>
  </si>
  <si>
    <t>Cotton - 6x6" (15x15cm)</t>
  </si>
  <si>
    <t>Cotton - 6x9" (15x18cm)</t>
  </si>
  <si>
    <t xml:space="preserve">Included in the base price: 2 or 3 matted prints in your choice of available papers and fabric cover. </t>
  </si>
  <si>
    <t>Premium Velvet, Silk or Eco Suede Cover</t>
  </si>
  <si>
    <t>Premium or Custom Embossing (plus cost of stamp)</t>
  </si>
  <si>
    <t>Premium or Custom Embossing Stamp (5x1")</t>
  </si>
  <si>
    <t>Premium or Custom Embossing Stamp (5x2")</t>
  </si>
  <si>
    <t>Premium or Custom Embossing Stamp (5x5")</t>
  </si>
  <si>
    <t>Premium Velvet, Silk, or Eco Suede Cover</t>
  </si>
  <si>
    <t>Frames</t>
  </si>
  <si>
    <t>Deep Matte Paper</t>
  </si>
  <si>
    <t>Thick Cover</t>
  </si>
  <si>
    <t xml:space="preserve"> Solid Wood Frames are meticulously handcrafted and designed to elevate your fine art prints into timeless heirlooms.</t>
  </si>
  <si>
    <t xml:space="preserve">PINE (BARNWOOD, DARK, LIGHT, BLACK, WHITE, GOLD) </t>
  </si>
  <si>
    <t>Regular
Frames</t>
  </si>
  <si>
    <t>Matted
Frames</t>
  </si>
  <si>
    <t>Matted
Deckled
Frames</t>
  </si>
  <si>
    <t>Floating
Deckled
Frames</t>
  </si>
  <si>
    <t>CLASSIC OAK</t>
  </si>
  <si>
    <t>12x16" (30x40cm)</t>
  </si>
  <si>
    <t>12x18" (30x45cm)</t>
  </si>
  <si>
    <t>16x24" (40x60cm)</t>
  </si>
  <si>
    <t>20x24" (50x60cm)</t>
  </si>
  <si>
    <t>*15x23 cm</t>
  </si>
  <si>
    <t>1x 15x23</t>
  </si>
  <si>
    <t>2x 15x23</t>
  </si>
  <si>
    <t xml:space="preserve">* Small sizes may not be able to match the personalization.
If your Main Album is an ArtBook, and you want to have copies done on matching fine art paper, you need to skip the Flat Rate option and instead use the 30% Off Duplicate Discount in the comments.  </t>
  </si>
  <si>
    <t>Photo Prints
Fuji Silk</t>
  </si>
  <si>
    <t>MOUNTED PRINTS</t>
  </si>
  <si>
    <t>Mounted</t>
  </si>
  <si>
    <t>MATTED PRINTS</t>
  </si>
  <si>
    <t xml:space="preserve">Fine Art Prints (Giclée) </t>
  </si>
  <si>
    <t>LOOSE PRINTS</t>
  </si>
  <si>
    <t>Fuji Lustre
Fuji Silk</t>
  </si>
  <si>
    <t>Fuji Deep Matte</t>
  </si>
  <si>
    <t>Matte Paper</t>
  </si>
  <si>
    <t>Cotton Paper</t>
  </si>
  <si>
    <t>Deckled Edge Cotton Paper</t>
  </si>
  <si>
    <t>12x12" (30x30cm)</t>
  </si>
  <si>
    <t>Circular
Deckled
Frames</t>
  </si>
  <si>
    <t>14x14"(35x35cm)</t>
  </si>
  <si>
    <t>16x16"(40x40cm)</t>
  </si>
  <si>
    <t>Mini QT</t>
  </si>
  <si>
    <t>7x7cm x 1</t>
  </si>
  <si>
    <t>7x7cm x 2</t>
  </si>
  <si>
    <t>7x7cm x 4</t>
  </si>
  <si>
    <t>6 spreads</t>
  </si>
  <si>
    <t>7 spreads</t>
  </si>
  <si>
    <t>8 spreads</t>
  </si>
  <si>
    <t>Mini Laser Etching</t>
  </si>
  <si>
    <t>9 spreads</t>
  </si>
  <si>
    <t>10 spreads (max)</t>
  </si>
  <si>
    <t>Included in the base price: 5 spreads (10 pages) with fabric cover and optional laser etching.</t>
  </si>
  <si>
    <t>Mini QT - 40% off in sets</t>
  </si>
  <si>
    <t xml:space="preserve">Starting with just 5 spreads/10 pages and available individually, or in discounted sets.
Mini QTs are the sophisticated alternative to mini accordion books. </t>
  </si>
  <si>
    <t>Mini QT Sets</t>
  </si>
  <si>
    <t>Cover upgrades are only charged once per set - more great savings!</t>
  </si>
  <si>
    <t>Input markup in the "customise" field to the right</t>
  </si>
  <si>
    <t>Mini Embossing</t>
  </si>
  <si>
    <t>ArtBooks - Hahnemühle Bamboo</t>
  </si>
  <si>
    <t>Hahnemühle Certificate of Authenticity</t>
  </si>
  <si>
    <t>ArtBook - Hahnemühle Baryta Bamboo</t>
  </si>
  <si>
    <t>Hahnemühle Bamboo Gloss Baryta brings together sustainability and the classic look of traditional fine art paper.
Made from 90% bamboo fibres and 10% cotton, it has a naturally warm white tone, free from optical brighteners, ensuring museum-quality, archival prints.
Available with regular page edges (straight-cut), or hand-torn deckled edges.</t>
  </si>
  <si>
    <t>Regular edges</t>
  </si>
  <si>
    <t>Deckled edges</t>
  </si>
  <si>
    <t>Cotton Rag is the most popular paper chosen by photographers to create high-quality fine art prints.  
The lightly textured surface of this paper is ideal for printing both black and white and color photographs with impressive pictorial depth.
Available with regular page edges (straight-cut), or hand-torn deckled edges.</t>
  </si>
  <si>
    <t>Included in the base price: 10 spreads (20 pages) with linen, leatherlike, flores or eco velvet cover material. 
Addition of a presentation box includes linen dust pouch and presentation gloves.</t>
  </si>
  <si>
    <t>Included in the base price: 10 spreads (20 pages) with linen, leatherlike, flores or eco velvet cover material, choice of lustre or silk prints, and slim pages.
Addition of a presentation box includes linen dust pouch and presentation gloves.</t>
  </si>
  <si>
    <t>It's unlike anything else—a soft, leather-wrap cover envelops pages of beautifully hand-torn, fine art prints—front page embossed in gold. A rustic leather strap closure winds around to finish the look. (Cover is unattached to the block of pages.) Available in Deckled Cotton Rag or Deckled Hahnemühle Bamboo paper.</t>
  </si>
  <si>
    <t>Deckled Cotton Rag</t>
  </si>
  <si>
    <t>Deckled Hahnemühle Bamboo</t>
  </si>
  <si>
    <t>Heirloom Books</t>
  </si>
  <si>
    <t>These magazine-style coffee-table books are the only non-layflat books in our product range and are designed with high capacity in mind that allows for up to 200 pages.
Featuring FSC® certified premium paper with a lightly textured, satin-finish surface, the lightweight pages are a joy to peruse and soft to the hand, featuring a subtle art quality. Printed with four-color (CMYK) digital press technology, Heirloom Books are perfect for bright, light, pastel, de-saturated, lowered contrast, film, or film-like photography.</t>
  </si>
  <si>
    <t>First 40 pages</t>
  </si>
  <si>
    <t>Max 200 pages</t>
  </si>
  <si>
    <r>
      <t xml:space="preserve">pages
</t>
    </r>
    <r>
      <rPr>
        <sz val="6"/>
        <color theme="1"/>
        <rFont val="Calibri"/>
        <family val="2"/>
        <charset val="238"/>
        <scheme val="minor"/>
      </rPr>
      <t xml:space="preserve">with </t>
    </r>
    <r>
      <rPr>
        <b/>
        <sz val="6"/>
        <color rgb="FF7030A0"/>
        <rFont val="Calibri"/>
        <family val="2"/>
        <charset val="238"/>
        <scheme val="minor"/>
      </rPr>
      <t>extras</t>
    </r>
  </si>
  <si>
    <t>42-60 pages</t>
  </si>
  <si>
    <t>62-80 pages</t>
  </si>
  <si>
    <t>82-100 pages</t>
  </si>
  <si>
    <t>102-120 pages</t>
  </si>
  <si>
    <t>122-140 pages</t>
  </si>
  <si>
    <t>142-160 pages</t>
  </si>
  <si>
    <t>162-180 pages</t>
  </si>
  <si>
    <t>182-200 pages</t>
  </si>
  <si>
    <t>Flat Rate Heirloom Copies</t>
  </si>
  <si>
    <t xml:space="preserve">Add extra copies for one flat rate regardless of the number of pages or the cover options you choose.  </t>
  </si>
  <si>
    <t>20x28cm</t>
  </si>
  <si>
    <t>28x28cm</t>
  </si>
  <si>
    <t>28x46cm</t>
  </si>
  <si>
    <t>Addtl 20 pages EUR</t>
  </si>
  <si>
    <t>Included in the base price: 40 pages with linen, leatherlike, flores or eco velvet cover material, and black or white endpapers. 
Addition of a presentation box includes linen dust pouch and presentation gloves.</t>
  </si>
  <si>
    <r>
      <t xml:space="preserve">Input markup in the </t>
    </r>
    <r>
      <rPr>
        <i/>
        <sz val="8"/>
        <color theme="0" tint="-0.34998626667073579"/>
        <rFont val="Calibri"/>
        <family val="2"/>
      </rPr>
      <t>customise</t>
    </r>
    <r>
      <rPr>
        <sz val="8"/>
        <color theme="0" tint="-0.34998626667073579"/>
        <rFont val="Calibri"/>
        <family val="2"/>
      </rPr>
      <t xml:space="preserve"> field to the right</t>
    </r>
  </si>
  <si>
    <t>Included in the base price: 8, 10, 16, or 20 mats (1 page = 1 mat), with basic fabric cover materials.
Plain Kraft box with book wrapped in paper available for €8 each.</t>
  </si>
  <si>
    <t>See tab for "Little QT"</t>
  </si>
  <si>
    <t>10x10cm</t>
  </si>
  <si>
    <t>Little QT</t>
  </si>
  <si>
    <t>Little QTs</t>
  </si>
  <si>
    <t>Version</t>
  </si>
  <si>
    <t>30 spreads (max)</t>
  </si>
  <si>
    <t>AriaBook</t>
  </si>
  <si>
    <t>Presentation Box - Kraft Paper (*included on Journal)</t>
  </si>
  <si>
    <t>Matte ArtBook</t>
  </si>
  <si>
    <t>Cotton ArtBook</t>
  </si>
  <si>
    <t>with Deckled pages</t>
  </si>
  <si>
    <t>*Cotton Journal</t>
  </si>
  <si>
    <t>Bamboo ArtBook</t>
  </si>
  <si>
    <t>Standard Embossing (mini version, 2 lines)</t>
  </si>
  <si>
    <t>*Bamboo Journal</t>
  </si>
  <si>
    <t>QT Laser Etching Templates</t>
  </si>
  <si>
    <t>Custom Laser Engraving</t>
  </si>
  <si>
    <t>Fuji Deep Matte Paper (AriaBook only)</t>
  </si>
  <si>
    <t>Thick Cover (AriaBook only)</t>
  </si>
  <si>
    <t>Little QT is the nickname we give to our 10x10cm AriaBooks &amp; ArtBooks. Now with fresh new pricing and options for Summer 2025. 
Changes to note: minimum 10 spreads is now 5 spreads, most extras have dropped price to better suit the small size, new one-click laser etching designs.</t>
  </si>
  <si>
    <t>New Price - 2025 Little QTs (10x10cm)</t>
  </si>
  <si>
    <t>Leather Cover (*included on Journal)</t>
  </si>
  <si>
    <t>Eco Suede, Silk, Velvet Cover</t>
  </si>
  <si>
    <t>Included in the base price: 5 spreads (10 pages) with standard non-leather cover material, black or white endpapers. 
*Journal includes deckled pages, leather and kraft box.</t>
  </si>
  <si>
    <t>Photo Wrap Cover (one size 20x28cm V)</t>
  </si>
  <si>
    <t>Cotton Rag Paper</t>
  </si>
  <si>
    <t>Hahnemühle Baryta Bamboo Paper</t>
  </si>
  <si>
    <t>Bamboo Paper</t>
  </si>
  <si>
    <t>Deckled Edge Bamboo Paper</t>
  </si>
  <si>
    <t>USB - Wood Dark Beech 64GB</t>
  </si>
  <si>
    <t>USB - Wood Light Beech 64GB</t>
  </si>
  <si>
    <t>Flat Rate Prima Copies</t>
  </si>
  <si>
    <r>
      <rPr>
        <sz val="11"/>
        <rFont val="Calibri"/>
        <family val="2"/>
        <scheme val="minor"/>
      </rPr>
      <t xml:space="preserve">Flat Rate Album Copies also available - </t>
    </r>
    <r>
      <rPr>
        <u/>
        <sz val="11"/>
        <color theme="10"/>
        <rFont val="Calibri"/>
        <family val="2"/>
        <charset val="238"/>
        <scheme val="minor"/>
      </rPr>
      <t>see pricing.</t>
    </r>
  </si>
  <si>
    <t>3x3"" (8x8cm)</t>
  </si>
  <si>
    <t>PrimaBook is a lay flat photo album designed to be a simple and cost-effective solution for family photography, couples, portrait, boudoir and everyday snapshots. Printed with premium Fuji photographic paper and covered with a beautiful fabric, PrimaBook can be further personalised with a range of predesigned stamps or embossed with your own text.
Add a wood &amp; matching fabric box to complete the look.</t>
  </si>
  <si>
    <t>Minimum 5 spreads.</t>
  </si>
  <si>
    <t>Input amount in the calculate for field to the right</t>
  </si>
  <si>
    <t>5 spreads</t>
  </si>
  <si>
    <t>Included in the base price: 10 spreads (20 pages) with choice of select fabric covers. Minimum order: 5 spreads (10 pages).</t>
  </si>
  <si>
    <t>Arcylic Cover</t>
  </si>
  <si>
    <t>Acrylic Cover</t>
  </si>
  <si>
    <t>Canvas</t>
  </si>
  <si>
    <t>Gallery wrapped canvas prints. Matte finish, UV &amp; moisture resistant. Hanging hardware included.</t>
  </si>
  <si>
    <t>Matte
Canvas</t>
  </si>
  <si>
    <t>20x20cm (8×8")</t>
  </si>
  <si>
    <t>20x25cm (8×10")</t>
  </si>
  <si>
    <t>25x25cm (10×10")</t>
  </si>
  <si>
    <t>28x36cm (11×14")</t>
  </si>
  <si>
    <t>30x30cm (12×12")</t>
  </si>
  <si>
    <t>30x40cm (12×16")</t>
  </si>
  <si>
    <t>30x45cm (12×18")</t>
  </si>
  <si>
    <t>35x35cm (14×14")</t>
  </si>
  <si>
    <t>40x40cm (16×16")</t>
  </si>
  <si>
    <t>40x50cm (16×20")</t>
  </si>
  <si>
    <t>40x60cm (16x24")</t>
  </si>
  <si>
    <t>50x50cm (20x20")</t>
  </si>
  <si>
    <t>50x60cm (20x24")</t>
  </si>
  <si>
    <t>50x70cm (20x28")</t>
  </si>
  <si>
    <t>50x76cm (20x30")</t>
  </si>
  <si>
    <r>
      <rPr>
        <sz val="26"/>
        <color theme="1" tint="0.34998626667073579"/>
        <rFont val="Gill Sans MT"/>
        <family val="2"/>
      </rPr>
      <t>2026 EUR PRICING CALCULATOR</t>
    </r>
    <r>
      <rPr>
        <sz val="18"/>
        <color theme="1" tint="0.34998626667073579"/>
        <rFont val="Gill Sans MT"/>
        <family val="2"/>
        <charset val="238"/>
      </rPr>
      <t xml:space="preserve">
</t>
    </r>
    <r>
      <rPr>
        <sz val="9"/>
        <color theme="1" tint="0.34998626667073579"/>
        <rFont val="Gill Sans MT"/>
        <family val="2"/>
      </rPr>
      <t>Valid from July 31, 2026 only at shop.qtalbums.eu
Prices in Euros</t>
    </r>
  </si>
  <si>
    <t>Flat rate copies are available with the purchase of AriaBooks and ArtBooks (does not include Journal).
Flat Rate Copies are configured as photo paper AriaBooks even if your main album is an ArtBook.
One extra copy is a great low price, 2 or more extra copies is an even better deal.
No limit to the quantity you can mix and match.</t>
  </si>
  <si>
    <t>3x 30x30</t>
  </si>
  <si>
    <t>3x 25x25</t>
  </si>
  <si>
    <t>3x 20x20</t>
  </si>
  <si>
    <t>3x 15x15</t>
  </si>
  <si>
    <t>3x 15x23</t>
  </si>
  <si>
    <t>3x 20x30</t>
  </si>
  <si>
    <t>20x30 cm, 25x38 cm, 30x45 cm</t>
  </si>
  <si>
    <t>25x38cm</t>
  </si>
  <si>
    <t>30x45cm</t>
  </si>
  <si>
    <t>AriaBook is the quintessential flush mount album featuring Fuji photographic paper in a lay-flat design with choice of paper finishes - Lustre or Silk included (Deep Matte extra) - and three page thicknesses. This paper is renowned for its fantastic print quality, excellent dynamic range and durable, fingerprint/scratch resistant finish. This is a fabulous paper choice and most of our photographers offer the AriaBook as their “standard” album choice.</t>
  </si>
  <si>
    <t>Included in the base price: 10 spreads (20 pages) with linen, leatherlike, flores or eco velvet cover material, choice of lustre or silk prints, and choice of regular or thick pages.
Addition of a presentation box includes linen dust pouch and presentation gloves. Max spine height is 30 cm (12"), so larger sizes are horizontal.</t>
  </si>
  <si>
    <t>AriaBook is the quintessential flush mount album featuring Fuji DPII photographic paper in a lay-flat design with two paper finishes - Lustre or Silk (Deep Matte extra) - and three page thicknesses. This paper is renowned for its fantastic print quality, excellent dynamic range and durable, fingerprint/scratch resistant finish. This is a fabulous paper choice and most of our photographers offer the AriaBook as their “standard” album choice.</t>
  </si>
  <si>
    <t>SLIM version with pages glued back-to-back (semi flexible)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</si>
</sst>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3">
    <font>
      <sz val="11"/>
      <color theme="1"/>
      <name val="Calibri"/>
      <family val="2"/>
      <charset val="238"/>
      <scheme val="minor"/>
    </font>
    <font>
      <b/>
      <sz val="11"/>
      <color rgb="FFFA7D00"/>
      <name val="Calibri"/>
      <family val="2"/>
      <scheme val="minor"/>
    </font>
    <font>
      <sz val="11"/>
      <color theme="1"/>
      <name val="Calibri"/>
      <family val="2"/>
      <charset val="238"/>
      <scheme val="minor"/>
    </font>
    <font>
      <sz val="18"/>
      <color theme="1" tint="0.34998626667073579"/>
      <name val="Gill Sans MT"/>
      <family val="2"/>
      <charset val="238"/>
    </font>
    <font>
      <sz val="18"/>
      <color theme="1" tint="0.34998626667073579"/>
      <name val="Gill Sans MT"/>
      <family val="2"/>
    </font>
    <font>
      <sz val="26"/>
      <color theme="1" tint="0.34998626667073579"/>
      <name val="Gill Sans MT"/>
      <family val="2"/>
    </font>
    <font>
      <sz val="9"/>
      <color theme="1" tint="0.34998626667073579"/>
      <name val="Gill Sans MT"/>
      <family val="2"/>
    </font>
    <font>
      <sz val="8"/>
      <color theme="0" tint="-0.14999847407452621"/>
      <name val="Calibri"/>
      <family val="2"/>
      <charset val="238"/>
      <scheme val="minor"/>
    </font>
    <font>
      <b/>
      <sz val="11"/>
      <color theme="1"/>
      <name val="Gill Sans MT"/>
      <family val="2"/>
      <charset val="238"/>
    </font>
    <font>
      <sz val="11"/>
      <color theme="1"/>
      <name val="Gill Sans MT"/>
      <family val="2"/>
      <charset val="238"/>
    </font>
    <font>
      <sz val="8"/>
      <color theme="5"/>
      <name val="Calibri"/>
      <family val="2"/>
      <charset val="238"/>
      <scheme val="minor"/>
    </font>
    <font>
      <u/>
      <sz val="11"/>
      <color theme="10"/>
      <name val="Calibri"/>
      <family val="2"/>
      <charset val="238"/>
      <scheme val="minor"/>
    </font>
    <font>
      <i/>
      <sz val="8"/>
      <color theme="5"/>
      <name val="Calibri"/>
      <family val="2"/>
      <charset val="238"/>
      <scheme val="minor"/>
    </font>
    <font>
      <sz val="8"/>
      <color rgb="FFFA7D00"/>
      <name val="Calibri"/>
      <family val="2"/>
      <scheme val="minor"/>
    </font>
    <font>
      <sz val="9"/>
      <color theme="2" tint="-0.749992370372631"/>
      <name val="Calibri"/>
      <family val="2"/>
      <charset val="238"/>
      <scheme val="minor"/>
    </font>
    <font>
      <b/>
      <sz val="11"/>
      <color theme="1"/>
      <name val="Calibri"/>
      <family val="2"/>
      <charset val="238"/>
      <scheme val="minor"/>
    </font>
    <font>
      <sz val="24"/>
      <color theme="1"/>
      <name val="Gill Sans MT"/>
      <family val="2"/>
      <charset val="238"/>
    </font>
    <font>
      <sz val="8"/>
      <color theme="0" tint="-0.34998626667073579"/>
      <name val="Calibri"/>
      <family val="2"/>
    </font>
    <font>
      <i/>
      <sz val="8"/>
      <color theme="0" tint="-0.34998626667073579"/>
      <name val="Calibri"/>
      <family val="2"/>
    </font>
    <font>
      <b/>
      <sz val="9"/>
      <color theme="1"/>
      <name val="Calibri"/>
      <family val="2"/>
      <charset val="238"/>
      <scheme val="minor"/>
    </font>
    <font>
      <sz val="8"/>
      <color theme="0" tint="-0.34998626667073579"/>
      <name val="Calibri"/>
      <family val="2"/>
      <charset val="238"/>
      <scheme val="minor"/>
    </font>
    <font>
      <sz val="8"/>
      <color rgb="FF7030A0"/>
      <name val="Calibri"/>
      <family val="2"/>
      <charset val="238"/>
      <scheme val="minor"/>
    </font>
    <font>
      <b/>
      <sz val="10"/>
      <color theme="1"/>
      <name val="Calibri"/>
      <family val="2"/>
      <charset val="238"/>
      <scheme val="minor"/>
    </font>
    <font>
      <b/>
      <sz val="14"/>
      <color theme="1"/>
      <name val="Calibri"/>
      <family val="2"/>
      <charset val="238"/>
      <scheme val="minor"/>
    </font>
    <font>
      <sz val="6"/>
      <color theme="1"/>
      <name val="Calibri"/>
      <family val="2"/>
      <charset val="238"/>
      <scheme val="minor"/>
    </font>
    <font>
      <b/>
      <sz val="6"/>
      <color rgb="FF7030A0"/>
      <name val="Calibri"/>
      <family val="2"/>
      <charset val="238"/>
      <scheme val="minor"/>
    </font>
    <font>
      <sz val="10"/>
      <color theme="1" tint="0.249977111117893"/>
      <name val="Calibri"/>
      <family val="2"/>
      <charset val="238"/>
      <scheme val="minor"/>
    </font>
    <font>
      <b/>
      <sz val="11"/>
      <color theme="1" tint="0.249977111117893"/>
      <name val="Calibri"/>
      <family val="2"/>
      <charset val="238"/>
      <scheme val="minor"/>
    </font>
    <font>
      <sz val="10"/>
      <color theme="1"/>
      <name val="Calibri"/>
      <family val="2"/>
      <charset val="238"/>
      <scheme val="minor"/>
    </font>
    <font>
      <b/>
      <sz val="16"/>
      <color theme="5" tint="-0.249977111117893"/>
      <name val="Calibri"/>
      <family val="2"/>
      <charset val="238"/>
      <scheme val="minor"/>
    </font>
    <font>
      <sz val="8"/>
      <color theme="0" tint="-0.249977111117893"/>
      <name val="Calibri"/>
      <family val="2"/>
      <charset val="238"/>
      <scheme val="minor"/>
    </font>
    <font>
      <sz val="11"/>
      <color theme="2" tint="-0.749992370372631"/>
      <name val="Calibri"/>
      <family val="2"/>
      <charset val="238"/>
      <scheme val="minor"/>
    </font>
    <font>
      <sz val="10"/>
      <color theme="0" tint="-0.249977111117893"/>
      <name val="Calibri"/>
      <family val="2"/>
      <charset val="238"/>
      <scheme val="minor"/>
    </font>
    <font>
      <sz val="9"/>
      <color theme="1"/>
      <name val="Calibri"/>
      <family val="2"/>
      <charset val="238"/>
      <scheme val="minor"/>
    </font>
    <font>
      <sz val="8"/>
      <color theme="1"/>
      <name val="Calibri"/>
      <family val="2"/>
      <charset val="238"/>
      <scheme val="minor"/>
    </font>
    <font>
      <sz val="9"/>
      <color theme="0" tint="-0.34998626667073579"/>
      <name val="Calibri"/>
      <family val="2"/>
      <charset val="238"/>
      <scheme val="minor"/>
    </font>
    <font>
      <sz val="7"/>
      <color theme="1"/>
      <name val="Calibri"/>
      <family val="2"/>
      <charset val="238"/>
      <scheme val="minor"/>
    </font>
    <font>
      <b/>
      <sz val="18"/>
      <color rgb="FF7030A0"/>
      <name val="Calibri"/>
      <family val="2"/>
      <charset val="238"/>
      <scheme val="minor"/>
    </font>
    <font>
      <b/>
      <sz val="9"/>
      <color indexed="81"/>
      <name val="Tahoma"/>
      <family val="2"/>
      <charset val="238"/>
    </font>
    <font>
      <sz val="9"/>
      <color indexed="81"/>
      <name val="Tahoma"/>
      <family val="2"/>
      <charset val="238"/>
    </font>
    <font>
      <sz val="11"/>
      <color rgb="FF2F75B5"/>
      <name val="Calibri"/>
      <family val="2"/>
      <charset val="238"/>
      <scheme val="minor"/>
    </font>
    <font>
      <sz val="10"/>
      <name val="Calibri"/>
      <family val="2"/>
      <charset val="238"/>
      <scheme val="minor"/>
    </font>
    <font>
      <sz val="11"/>
      <name val="Calibri"/>
      <family val="2"/>
      <charset val="238"/>
      <scheme val="minor"/>
    </font>
    <font>
      <sz val="9"/>
      <color theme="0" tint="-0.34998626667073579"/>
      <name val="Gill Sans MT"/>
      <family val="2"/>
      <charset val="238"/>
    </font>
    <font>
      <sz val="11"/>
      <color theme="1"/>
      <name val="Gill Sans MT"/>
      <family val="2"/>
    </font>
    <font>
      <b/>
      <sz val="8"/>
      <color theme="1"/>
      <name val="Calibri"/>
      <family val="2"/>
      <charset val="238"/>
      <scheme val="minor"/>
    </font>
    <font>
      <strike/>
      <sz val="11"/>
      <color rgb="FFFF0000"/>
      <name val="Calibri"/>
      <family val="2"/>
      <charset val="238"/>
      <scheme val="minor"/>
    </font>
    <font>
      <sz val="11"/>
      <color rgb="FF000000"/>
      <name val="Calibri"/>
      <family val="2"/>
      <charset val="238"/>
      <scheme val="minor"/>
    </font>
    <font>
      <strike/>
      <sz val="7"/>
      <color rgb="FFFF0000"/>
      <name val="Calibri"/>
      <family val="2"/>
      <charset val="238"/>
      <scheme val="minor"/>
    </font>
    <font>
      <sz val="8"/>
      <color rgb="FF000000"/>
      <name val="Calibri"/>
      <family val="2"/>
      <charset val="238"/>
      <scheme val="minor"/>
    </font>
    <font>
      <sz val="10"/>
      <color theme="1"/>
      <name val="Calibri"/>
      <family val="2"/>
      <scheme val="minor"/>
    </font>
    <font>
      <sz val="8"/>
      <color theme="0" tint="-0.34998626667073579"/>
      <name val="Calibri"/>
      <family val="2"/>
      <scheme val="minor"/>
    </font>
    <font>
      <sz val="24"/>
      <color theme="1"/>
      <name val="Futura PT Book"/>
      <family val="2"/>
    </font>
    <font>
      <b/>
      <sz val="10"/>
      <color rgb="FF000000"/>
      <name val="Calibri"/>
      <family val="2"/>
    </font>
    <font>
      <sz val="10"/>
      <color rgb="FF000000"/>
      <name val="Calibri"/>
      <family val="2"/>
    </font>
    <font>
      <sz val="8"/>
      <color rgb="FF000000"/>
      <name val="Calibri"/>
      <family val="2"/>
      <charset val="238"/>
    </font>
    <font>
      <sz val="8"/>
      <color theme="1"/>
      <name val="Calibri"/>
      <family val="2"/>
      <scheme val="minor"/>
    </font>
    <font>
      <b/>
      <sz val="11"/>
      <color rgb="FF3D4246"/>
      <name val="Calibri"/>
      <family val="2"/>
      <charset val="238"/>
      <scheme val="minor"/>
    </font>
    <font>
      <sz val="11"/>
      <color rgb="FF3D4246"/>
      <name val="Calibri"/>
      <family val="2"/>
      <charset val="238"/>
      <scheme val="minor"/>
    </font>
    <font>
      <sz val="8"/>
      <name val="Calibri"/>
      <family val="2"/>
      <charset val="238"/>
      <scheme val="minor"/>
    </font>
    <font>
      <b/>
      <sz val="20"/>
      <color theme="1"/>
      <name val="Calibri"/>
      <family val="2"/>
      <charset val="238"/>
      <scheme val="minor"/>
    </font>
    <font>
      <b/>
      <sz val="10"/>
      <color theme="1" tint="0.249977111117893"/>
      <name val="Calibri"/>
      <family val="2"/>
      <scheme val="minor"/>
    </font>
    <font>
      <sz val="10"/>
      <color theme="1" tint="0.249977111117893"/>
      <name val="Calibri"/>
      <family val="2"/>
      <scheme val="minor"/>
    </font>
    <font>
      <b/>
      <sz val="11"/>
      <color theme="1"/>
      <name val="Calibri"/>
      <family val="2"/>
      <scheme val="minor"/>
    </font>
    <font>
      <sz val="18"/>
      <color theme="1"/>
      <name val="Gill Sans MT"/>
      <family val="2"/>
      <charset val="238"/>
    </font>
    <font>
      <sz val="11"/>
      <color theme="1" tint="0.249977111117893"/>
      <name val="Calibri"/>
      <family val="2"/>
      <scheme val="minor"/>
    </font>
    <font>
      <b/>
      <sz val="10"/>
      <color theme="1"/>
      <name val="Calibri"/>
      <family val="2"/>
      <scheme val="minor"/>
    </font>
    <font>
      <b/>
      <sz val="16"/>
      <color theme="1"/>
      <name val="Calibri"/>
      <family val="2"/>
      <scheme val="minor"/>
    </font>
    <font>
      <sz val="22"/>
      <color theme="1"/>
      <name val="Gill Sans MT"/>
      <family val="2"/>
      <charset val="238"/>
    </font>
    <font>
      <sz val="11"/>
      <name val="Calibri"/>
      <family val="2"/>
      <scheme val="minor"/>
    </font>
    <font>
      <u/>
      <sz val="11"/>
      <color theme="10"/>
      <name val="Calibri"/>
      <family val="2"/>
      <scheme val="minor"/>
    </font>
    <font>
      <sz val="11"/>
      <color theme="1"/>
      <name val="Calibri"/>
      <family val="2"/>
      <charset val="238"/>
    </font>
    <font>
      <b/>
      <sz val="11"/>
      <color theme="1"/>
      <name val="Calibri"/>
      <family val="2"/>
      <charset val="238"/>
    </font>
    <font>
      <sz val="10"/>
      <color theme="1"/>
      <name val="Calibri"/>
      <family val="2"/>
      <charset val="238"/>
    </font>
    <font>
      <b/>
      <sz val="16"/>
      <color theme="5" tint="-0.249977111117893"/>
      <name val="Calibri"/>
      <family val="2"/>
      <charset val="238"/>
    </font>
    <font>
      <sz val="8"/>
      <color theme="0" tint="-0.249977111117893"/>
      <name val="Calibri"/>
      <family val="2"/>
      <charset val="238"/>
    </font>
    <font>
      <sz val="11"/>
      <color theme="2" tint="-0.749992370372631"/>
      <name val="Calibri"/>
      <family val="2"/>
      <charset val="238"/>
    </font>
    <font>
      <sz val="10"/>
      <color theme="0" tint="-0.249977111117893"/>
      <name val="Calibri"/>
      <family val="2"/>
      <charset val="238"/>
    </font>
    <font>
      <sz val="8"/>
      <color theme="0" tint="-0.34998626667073579"/>
      <name val="Calibri"/>
      <family val="2"/>
      <charset val="1"/>
    </font>
    <font>
      <b/>
      <sz val="9"/>
      <color theme="1"/>
      <name val="Calibri"/>
      <family val="2"/>
      <charset val="238"/>
    </font>
    <font>
      <b/>
      <sz val="10"/>
      <color theme="1"/>
      <name val="Calibri"/>
      <family val="2"/>
      <charset val="238"/>
    </font>
    <font>
      <b/>
      <sz val="14"/>
      <color theme="1"/>
      <name val="Calibri"/>
      <family val="2"/>
      <charset val="238"/>
    </font>
    <font>
      <sz val="6"/>
      <color theme="1"/>
      <name val="Calibri"/>
      <family val="2"/>
      <charset val="238"/>
    </font>
    <font>
      <sz val="9"/>
      <color theme="1"/>
      <name val="Calibri"/>
      <family val="2"/>
      <charset val="238"/>
    </font>
    <font>
      <sz val="10"/>
      <color theme="1" tint="0.24988555558946501"/>
      <name val="Calibri"/>
      <family val="2"/>
      <charset val="238"/>
    </font>
    <font>
      <sz val="8"/>
      <color theme="1"/>
      <name val="Calibri"/>
      <family val="2"/>
      <charset val="238"/>
    </font>
    <font>
      <sz val="11"/>
      <color rgb="FF000000"/>
      <name val="Calibri"/>
      <family val="2"/>
      <charset val="238"/>
    </font>
    <font>
      <sz val="9"/>
      <color theme="0" tint="-0.34998626667073579"/>
      <name val="Calibri"/>
      <family val="2"/>
      <charset val="238"/>
    </font>
    <font>
      <strike/>
      <sz val="7"/>
      <color rgb="FFFF0000"/>
      <name val="Calibri"/>
      <family val="2"/>
      <charset val="238"/>
    </font>
    <font>
      <b/>
      <sz val="18"/>
      <color rgb="FF7030A0"/>
      <name val="Calibri"/>
      <family val="2"/>
      <charset val="238"/>
    </font>
    <font>
      <sz val="10"/>
      <color theme="1" tint="0.24988555558946501"/>
      <name val="Calibri"/>
      <family val="2"/>
      <charset val="1"/>
    </font>
    <font>
      <strike/>
      <sz val="11"/>
      <color rgb="FFFF0000"/>
      <name val="Calibri"/>
      <family val="2"/>
      <charset val="238"/>
    </font>
    <font>
      <sz val="7"/>
      <color theme="1"/>
      <name val="Calibri"/>
      <family val="2"/>
      <charset val="238"/>
    </font>
  </fonts>
  <fills count="14">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0.249977111117893"/>
        <bgColor rgb="FFA6A6A6"/>
      </patternFill>
    </fill>
    <fill>
      <patternFill patternType="solid">
        <fgColor theme="5" tint="0.59987182226020086"/>
        <bgColor rgb="FFD9D9D9"/>
      </patternFill>
    </fill>
    <fill>
      <patternFill patternType="solid">
        <fgColor theme="0" tint="-4.9989318521683403E-2"/>
        <bgColor rgb="FFFFFFFF"/>
      </patternFill>
    </fill>
    <fill>
      <patternFill patternType="solid">
        <fgColor theme="0"/>
        <bgColor rgb="FFF2F2F2"/>
      </patternFill>
    </fill>
    <fill>
      <patternFill patternType="solid">
        <fgColor theme="0" tint="-0.14999847407452621"/>
        <bgColor rgb="FFF8CBAD"/>
      </patternFill>
    </fill>
  </fills>
  <borders count="12">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bottom style="double">
        <color indexed="64"/>
      </bottom>
      <diagonal/>
    </border>
    <border>
      <left/>
      <right/>
      <top style="double">
        <color indexed="64"/>
      </top>
      <bottom/>
      <diagonal/>
    </border>
    <border>
      <left/>
      <right/>
      <top/>
      <bottom style="medium">
        <color theme="1"/>
      </bottom>
      <diagonal/>
    </border>
    <border>
      <left/>
      <right/>
      <top style="medium">
        <color theme="1"/>
      </top>
      <bottom/>
      <diagonal/>
    </border>
    <border>
      <left/>
      <right/>
      <top style="medium">
        <color theme="0"/>
      </top>
      <bottom/>
      <diagonal/>
    </border>
    <border>
      <left/>
      <right/>
      <top style="thin">
        <color indexed="64"/>
      </top>
      <bottom/>
      <diagonal/>
    </border>
    <border>
      <left/>
      <right/>
      <top/>
      <bottom style="medium">
        <color theme="0"/>
      </bottom>
      <diagonal/>
    </border>
  </borders>
  <cellStyleXfs count="4">
    <xf numFmtId="0" fontId="0" fillId="0" borderId="0"/>
    <xf numFmtId="44" fontId="2" fillId="0" borderId="0" applyFont="0" applyFill="0" applyBorder="0" applyAlignment="0" applyProtection="0"/>
    <xf numFmtId="0" fontId="1" fillId="2" borderId="1" applyNumberFormat="0" applyAlignment="0" applyProtection="0"/>
    <xf numFmtId="0" fontId="11" fillId="0" borderId="0" applyNumberFormat="0" applyFill="0" applyBorder="0" applyAlignment="0" applyProtection="0"/>
  </cellStyleXfs>
  <cellXfs count="267">
    <xf numFmtId="0" fontId="0" fillId="0" borderId="0" xfId="0"/>
    <xf numFmtId="0" fontId="0" fillId="0" borderId="0" xfId="0" applyAlignment="1">
      <alignment vertical="center"/>
    </xf>
    <xf numFmtId="0" fontId="9" fillId="0" borderId="0" xfId="0" applyFont="1" applyAlignment="1">
      <alignment horizontal="center" vertical="center"/>
    </xf>
    <xf numFmtId="0" fontId="10" fillId="0" borderId="0" xfId="0" applyFont="1"/>
    <xf numFmtId="0" fontId="12" fillId="0" borderId="0" xfId="0" applyFont="1" applyAlignment="1">
      <alignment horizontal="left" vertical="center" wrapText="1"/>
    </xf>
    <xf numFmtId="0" fontId="12" fillId="0" borderId="0" xfId="0" applyFont="1" applyAlignment="1">
      <alignment wrapText="1"/>
    </xf>
    <xf numFmtId="0" fontId="14" fillId="4" borderId="0" xfId="0" applyFont="1" applyFill="1" applyAlignment="1">
      <alignment horizontal="center" vertical="center"/>
    </xf>
    <xf numFmtId="0" fontId="0" fillId="0" borderId="0" xfId="0" applyAlignment="1" applyProtection="1">
      <alignment horizontal="center" vertical="center"/>
      <protection locked="0"/>
    </xf>
    <xf numFmtId="0" fontId="9" fillId="6" borderId="0" xfId="0" applyFont="1" applyFill="1" applyAlignment="1" applyProtection="1">
      <alignment horizontal="center" vertical="center" wrapText="1"/>
      <protection locked="0"/>
    </xf>
    <xf numFmtId="0" fontId="0" fillId="6" borderId="0" xfId="0" applyFill="1" applyAlignment="1" applyProtection="1">
      <alignment horizontal="center" vertical="center"/>
      <protection locked="0"/>
    </xf>
    <xf numFmtId="0" fontId="22" fillId="7" borderId="3" xfId="0"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30" fillId="0" borderId="0" xfId="0" applyFont="1" applyAlignment="1" applyProtection="1">
      <alignment horizontal="center" vertical="center" wrapText="1"/>
      <protection locked="0"/>
    </xf>
    <xf numFmtId="0" fontId="22" fillId="0" borderId="0" xfId="0" applyFont="1" applyAlignment="1" applyProtection="1">
      <alignment horizontal="center" vertical="center"/>
      <protection locked="0"/>
    </xf>
    <xf numFmtId="0" fontId="31" fillId="4" borderId="0" xfId="0" applyFont="1" applyFill="1" applyAlignment="1" applyProtection="1">
      <alignment horizontal="center" vertical="center"/>
      <protection locked="0"/>
    </xf>
    <xf numFmtId="0" fontId="32" fillId="0" borderId="0" xfId="0" applyFont="1" applyAlignment="1" applyProtection="1">
      <alignment horizontal="center" vertical="center"/>
      <protection locked="0"/>
    </xf>
    <xf numFmtId="0" fontId="0" fillId="4" borderId="0" xfId="0" applyFill="1" applyAlignment="1" applyProtection="1">
      <alignment horizontal="center" vertical="center"/>
      <protection locked="0"/>
    </xf>
    <xf numFmtId="0" fontId="0" fillId="0" borderId="0" xfId="0" applyAlignment="1">
      <alignment horizontal="center" vertical="center"/>
    </xf>
    <xf numFmtId="0" fontId="22" fillId="0" borderId="3"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5" fillId="0" borderId="0" xfId="0" applyFont="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right" vertical="center"/>
      <protection locked="0"/>
    </xf>
    <xf numFmtId="0" fontId="0" fillId="0" borderId="0" xfId="0" applyProtection="1">
      <protection locked="0"/>
    </xf>
    <xf numFmtId="0" fontId="40" fillId="0" borderId="0" xfId="0" applyFont="1" applyAlignment="1" applyProtection="1">
      <alignment horizontal="center" vertical="center"/>
      <protection locked="0"/>
    </xf>
    <xf numFmtId="0" fontId="42" fillId="4" borderId="0" xfId="0" applyFont="1" applyFill="1" applyAlignment="1" applyProtection="1">
      <alignment horizontal="center" vertical="center"/>
      <protection locked="0"/>
    </xf>
    <xf numFmtId="0" fontId="43" fillId="6" borderId="0" xfId="0" applyFont="1" applyFill="1" applyAlignment="1" applyProtection="1">
      <alignment horizontal="center" wrapText="1"/>
      <protection locked="0"/>
    </xf>
    <xf numFmtId="0" fontId="46" fillId="0" borderId="0" xfId="0" applyFont="1" applyAlignment="1" applyProtection="1">
      <alignment horizontal="center" vertical="center"/>
      <protection locked="0"/>
    </xf>
    <xf numFmtId="0" fontId="47" fillId="4" borderId="0" xfId="0" applyFont="1" applyFill="1" applyAlignment="1" applyProtection="1">
      <alignment horizontal="center" vertical="center"/>
      <protection locked="0"/>
    </xf>
    <xf numFmtId="0" fontId="48" fillId="0" borderId="0" xfId="0" applyFont="1" applyAlignment="1" applyProtection="1">
      <alignment horizontal="center" vertical="center" wrapText="1"/>
      <protection locked="0"/>
    </xf>
    <xf numFmtId="0" fontId="15" fillId="0" borderId="3" xfId="0" applyFont="1" applyBorder="1" applyAlignment="1" applyProtection="1">
      <alignment vertical="center"/>
      <protection locked="0"/>
    </xf>
    <xf numFmtId="0" fontId="28" fillId="0" borderId="4" xfId="0" applyFont="1" applyBorder="1" applyAlignment="1" applyProtection="1">
      <alignment vertical="center"/>
      <protection locked="0"/>
    </xf>
    <xf numFmtId="0" fontId="28" fillId="0" borderId="0" xfId="0" applyFont="1" applyAlignment="1" applyProtection="1">
      <alignment horizontal="center" vertical="center"/>
      <protection locked="0"/>
    </xf>
    <xf numFmtId="0" fontId="28" fillId="0" borderId="0" xfId="0" applyFont="1" applyAlignment="1" applyProtection="1">
      <alignment vertical="center"/>
      <protection locked="0"/>
    </xf>
    <xf numFmtId="0" fontId="52" fillId="0" borderId="0" xfId="0" applyFont="1" applyAlignment="1">
      <alignment horizontal="center" vertical="center"/>
    </xf>
    <xf numFmtId="0" fontId="9" fillId="0" borderId="0" xfId="0" applyFont="1" applyAlignment="1" applyProtection="1">
      <alignment horizontal="center" vertical="center" wrapText="1"/>
      <protection locked="0"/>
    </xf>
    <xf numFmtId="0" fontId="50" fillId="0" borderId="0" xfId="0" applyFont="1" applyAlignment="1">
      <alignment horizontal="center" vertical="center"/>
    </xf>
    <xf numFmtId="0" fontId="53" fillId="7" borderId="3" xfId="0" applyFont="1" applyFill="1" applyBorder="1" applyAlignment="1">
      <alignment horizontal="center" vertical="center" wrapText="1"/>
    </xf>
    <xf numFmtId="0" fontId="54" fillId="0" borderId="0" xfId="0" applyFont="1"/>
    <xf numFmtId="0" fontId="53" fillId="0" borderId="0" xfId="0" applyFont="1" applyAlignment="1">
      <alignment horizontal="center"/>
    </xf>
    <xf numFmtId="0" fontId="50" fillId="0" borderId="0" xfId="0" applyFont="1"/>
    <xf numFmtId="0" fontId="53" fillId="0" borderId="3" xfId="0" applyFont="1" applyBorder="1" applyAlignment="1">
      <alignment horizontal="center"/>
    </xf>
    <xf numFmtId="0" fontId="54" fillId="0" borderId="0" xfId="0" applyFont="1" applyAlignment="1">
      <alignment horizontal="center" vertical="center"/>
    </xf>
    <xf numFmtId="0" fontId="53" fillId="0" borderId="0" xfId="0" applyFont="1" applyAlignment="1">
      <alignment horizontal="right"/>
    </xf>
    <xf numFmtId="0" fontId="54" fillId="0" borderId="0" xfId="0" applyFont="1" applyAlignment="1">
      <alignment horizontal="center"/>
    </xf>
    <xf numFmtId="0" fontId="55" fillId="0" borderId="0" xfId="0" applyFont="1"/>
    <xf numFmtId="0" fontId="35"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52" fillId="0" borderId="0" xfId="0" applyFont="1" applyAlignment="1">
      <alignment vertical="center"/>
    </xf>
    <xf numFmtId="0" fontId="11" fillId="0" borderId="9" xfId="3" applyBorder="1" applyAlignment="1">
      <alignment vertical="center"/>
    </xf>
    <xf numFmtId="164" fontId="54" fillId="0" borderId="0" xfId="1" applyNumberFormat="1" applyFont="1" applyBorder="1" applyAlignment="1" applyProtection="1">
      <alignment horizontal="center"/>
    </xf>
    <xf numFmtId="164" fontId="54" fillId="0" borderId="3" xfId="1" applyNumberFormat="1" applyFont="1" applyBorder="1" applyAlignment="1" applyProtection="1">
      <alignment horizontal="center"/>
    </xf>
    <xf numFmtId="0" fontId="47" fillId="0" borderId="0" xfId="0" applyFont="1" applyAlignment="1">
      <alignment horizontal="center" vertical="center"/>
    </xf>
    <xf numFmtId="0" fontId="22" fillId="7" borderId="3" xfId="0" applyFont="1" applyFill="1" applyBorder="1" applyAlignment="1">
      <alignment horizontal="center" vertical="center"/>
    </xf>
    <xf numFmtId="0" fontId="23" fillId="7" borderId="3" xfId="0" applyFont="1" applyFill="1" applyBorder="1" applyAlignment="1">
      <alignment horizontal="center" vertical="center"/>
    </xf>
    <xf numFmtId="0" fontId="22" fillId="7" borderId="3" xfId="0" applyFont="1" applyFill="1" applyBorder="1" applyAlignment="1">
      <alignment horizontal="left" vertical="center" wrapText="1"/>
    </xf>
    <xf numFmtId="0" fontId="22" fillId="0" borderId="4" xfId="0" applyFont="1" applyBorder="1" applyAlignment="1">
      <alignment horizontal="center" vertical="center"/>
    </xf>
    <xf numFmtId="2" fontId="26" fillId="0" borderId="4" xfId="0" applyNumberFormat="1" applyFont="1" applyBorder="1" applyAlignment="1">
      <alignment horizontal="center" vertical="center"/>
    </xf>
    <xf numFmtId="2" fontId="28" fillId="0" borderId="4" xfId="0" applyNumberFormat="1" applyFont="1" applyBorder="1" applyAlignment="1">
      <alignment horizontal="center" vertical="center"/>
    </xf>
    <xf numFmtId="0" fontId="22" fillId="0" borderId="0" xfId="0" applyFont="1" applyAlignment="1">
      <alignment horizontal="center" vertical="center"/>
    </xf>
    <xf numFmtId="2" fontId="26" fillId="0" borderId="0" xfId="0" applyNumberFormat="1" applyFont="1" applyAlignment="1">
      <alignment horizontal="center" vertical="center"/>
    </xf>
    <xf numFmtId="2" fontId="28" fillId="0" borderId="0" xfId="0" applyNumberFormat="1" applyFont="1" applyAlignment="1">
      <alignment horizontal="center" vertical="center"/>
    </xf>
    <xf numFmtId="0" fontId="22" fillId="0" borderId="2" xfId="0" applyFont="1" applyBorder="1" applyAlignment="1">
      <alignment horizontal="center" vertical="center"/>
    </xf>
    <xf numFmtId="2" fontId="26" fillId="0" borderId="2" xfId="0" applyNumberFormat="1" applyFont="1" applyBorder="1" applyAlignment="1">
      <alignment horizontal="center" vertical="center"/>
    </xf>
    <xf numFmtId="0" fontId="22" fillId="7" borderId="0" xfId="0" applyFont="1" applyFill="1" applyAlignment="1" applyProtection="1">
      <alignment horizontal="center" vertical="center"/>
      <protection locked="0"/>
    </xf>
    <xf numFmtId="0" fontId="22" fillId="7" borderId="0" xfId="0" applyFont="1" applyFill="1" applyAlignment="1" applyProtection="1">
      <alignment horizontal="center" vertical="center" wrapText="1"/>
      <protection locked="0"/>
    </xf>
    <xf numFmtId="0" fontId="22" fillId="0" borderId="3" xfId="0" applyFont="1" applyBorder="1" applyAlignment="1">
      <alignment horizontal="center" vertical="center"/>
    </xf>
    <xf numFmtId="2" fontId="26" fillId="0" borderId="3" xfId="0" applyNumberFormat="1" applyFont="1" applyBorder="1" applyAlignment="1">
      <alignment horizontal="center" vertical="center"/>
    </xf>
    <xf numFmtId="0" fontId="22" fillId="7" borderId="3" xfId="0" applyFont="1" applyFill="1" applyBorder="1" applyAlignment="1">
      <alignment horizontal="center" vertical="center" wrapText="1"/>
    </xf>
    <xf numFmtId="0" fontId="22" fillId="0" borderId="0" xfId="0" applyFont="1" applyAlignment="1">
      <alignment horizontal="center" vertical="center" wrapText="1"/>
    </xf>
    <xf numFmtId="0" fontId="22" fillId="0" borderId="3" xfId="0" applyFont="1" applyBorder="1" applyAlignment="1">
      <alignment horizontal="center" vertical="center" wrapText="1"/>
    </xf>
    <xf numFmtId="0" fontId="23" fillId="7" borderId="3" xfId="0" applyFont="1" applyFill="1" applyBorder="1" applyAlignment="1">
      <alignment horizontal="right" vertical="center"/>
    </xf>
    <xf numFmtId="0" fontId="22" fillId="0" borderId="7" xfId="0" applyFont="1" applyBorder="1" applyAlignment="1">
      <alignment horizontal="center" vertical="center" wrapText="1"/>
    </xf>
    <xf numFmtId="2" fontId="26" fillId="0" borderId="7" xfId="0" applyNumberFormat="1" applyFont="1" applyBorder="1" applyAlignment="1">
      <alignment horizontal="center" vertical="center"/>
    </xf>
    <xf numFmtId="0" fontId="22" fillId="0" borderId="7" xfId="0" applyFont="1" applyBorder="1" applyAlignment="1">
      <alignment horizontal="center" vertical="center"/>
    </xf>
    <xf numFmtId="0" fontId="11" fillId="0" borderId="0" xfId="3"/>
    <xf numFmtId="0" fontId="20" fillId="0" borderId="0" xfId="0" applyFont="1" applyAlignment="1" applyProtection="1">
      <alignment horizontal="center" vertical="center"/>
      <protection locked="0"/>
    </xf>
    <xf numFmtId="0" fontId="57" fillId="0" borderId="0" xfId="0" applyFont="1"/>
    <xf numFmtId="0" fontId="58" fillId="0" borderId="0" xfId="0" applyFont="1"/>
    <xf numFmtId="0" fontId="42" fillId="0" borderId="0" xfId="0" applyFont="1" applyAlignment="1" applyProtection="1">
      <alignment horizontal="center" vertical="center"/>
      <protection locked="0"/>
    </xf>
    <xf numFmtId="2" fontId="54" fillId="0" borderId="0" xfId="1" applyNumberFormat="1" applyFont="1" applyBorder="1" applyAlignment="1">
      <alignment horizontal="center"/>
    </xf>
    <xf numFmtId="2" fontId="54" fillId="0" borderId="0" xfId="1" applyNumberFormat="1" applyFont="1" applyFill="1" applyBorder="1" applyAlignment="1">
      <alignment horizontal="center"/>
    </xf>
    <xf numFmtId="2" fontId="54" fillId="0" borderId="0" xfId="0" applyNumberFormat="1" applyFont="1" applyAlignment="1">
      <alignment horizontal="center"/>
    </xf>
    <xf numFmtId="2" fontId="54" fillId="0" borderId="3" xfId="1" applyNumberFormat="1" applyFont="1" applyBorder="1" applyAlignment="1">
      <alignment horizontal="center"/>
    </xf>
    <xf numFmtId="2" fontId="54" fillId="0" borderId="3" xfId="1" applyNumberFormat="1" applyFont="1" applyFill="1" applyBorder="1" applyAlignment="1">
      <alignment horizontal="center"/>
    </xf>
    <xf numFmtId="2" fontId="54" fillId="0" borderId="3" xfId="0" applyNumberFormat="1" applyFont="1" applyBorder="1" applyAlignment="1">
      <alignment horizontal="center"/>
    </xf>
    <xf numFmtId="0" fontId="0" fillId="0" borderId="0" xfId="0" applyAlignment="1">
      <alignment horizontal="center"/>
    </xf>
    <xf numFmtId="2" fontId="26" fillId="0" borderId="0" xfId="1" applyNumberFormat="1" applyFont="1" applyBorder="1" applyAlignment="1" applyProtection="1">
      <alignment horizontal="center" vertical="center"/>
    </xf>
    <xf numFmtId="2" fontId="26" fillId="0" borderId="3" xfId="1" applyNumberFormat="1" applyFont="1" applyBorder="1" applyAlignment="1" applyProtection="1">
      <alignment horizontal="center" vertical="center"/>
    </xf>
    <xf numFmtId="0" fontId="56" fillId="6" borderId="0" xfId="0" applyFont="1" applyFill="1" applyAlignment="1" applyProtection="1">
      <alignment horizontal="center" wrapText="1"/>
      <protection locked="0"/>
    </xf>
    <xf numFmtId="0" fontId="35" fillId="0" borderId="4" xfId="0" applyFont="1" applyBorder="1" applyAlignment="1" applyProtection="1">
      <alignment horizontal="center" vertical="center" wrapText="1"/>
      <protection locked="0"/>
    </xf>
    <xf numFmtId="0" fontId="17" fillId="6" borderId="0" xfId="0" applyFont="1" applyFill="1" applyAlignment="1" applyProtection="1">
      <alignment horizontal="center" vertical="center" wrapText="1"/>
      <protection locked="0"/>
    </xf>
    <xf numFmtId="2" fontId="61" fillId="0" borderId="0" xfId="0" applyNumberFormat="1" applyFont="1" applyAlignment="1">
      <alignment horizontal="center" vertical="center"/>
    </xf>
    <xf numFmtId="2" fontId="62" fillId="0" borderId="0" xfId="0" applyNumberFormat="1" applyFont="1" applyAlignment="1">
      <alignment horizontal="center" vertical="center"/>
    </xf>
    <xf numFmtId="0" fontId="0" fillId="0" borderId="4" xfId="0"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2" fontId="54" fillId="0" borderId="0" xfId="1" applyNumberFormat="1" applyFont="1" applyBorder="1" applyAlignment="1" applyProtection="1">
      <alignment horizontal="center"/>
    </xf>
    <xf numFmtId="2" fontId="54" fillId="0" borderId="3" xfId="1" applyNumberFormat="1" applyFont="1" applyBorder="1" applyAlignment="1" applyProtection="1">
      <alignment horizontal="center"/>
    </xf>
    <xf numFmtId="0" fontId="11" fillId="0" borderId="0" xfId="3" applyAlignment="1"/>
    <xf numFmtId="0" fontId="15" fillId="0" borderId="3" xfId="0" applyFont="1" applyBorder="1" applyAlignment="1" applyProtection="1">
      <alignment horizontal="left"/>
      <protection locked="0"/>
    </xf>
    <xf numFmtId="0" fontId="28" fillId="0" borderId="4"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24" fillId="0" borderId="3" xfId="0" applyFont="1" applyBorder="1" applyAlignment="1" applyProtection="1">
      <alignment horizontal="center" wrapText="1"/>
      <protection locked="0"/>
    </xf>
    <xf numFmtId="0" fontId="33" fillId="0" borderId="3" xfId="0" applyFont="1" applyBorder="1" applyAlignment="1" applyProtection="1">
      <alignment horizontal="center"/>
      <protection locked="0"/>
    </xf>
    <xf numFmtId="0" fontId="34" fillId="0" borderId="0" xfId="0" applyFont="1" applyAlignment="1">
      <alignment horizontal="left" vertical="center"/>
    </xf>
    <xf numFmtId="0" fontId="34" fillId="0" borderId="0" xfId="0" applyFont="1" applyAlignment="1" applyProtection="1">
      <alignment horizontal="left" vertical="center" wrapText="1"/>
      <protection locked="0"/>
    </xf>
    <xf numFmtId="0" fontId="34" fillId="0" borderId="0" xfId="0" applyFont="1" applyAlignment="1" applyProtection="1">
      <alignment horizontal="left" vertical="center"/>
      <protection locked="0"/>
    </xf>
    <xf numFmtId="0" fontId="20" fillId="0" borderId="0" xfId="0" applyFont="1" applyAlignment="1" applyProtection="1">
      <alignment horizontal="left" vertical="center"/>
      <protection locked="0"/>
    </xf>
    <xf numFmtId="0" fontId="41" fillId="0" borderId="0" xfId="0" applyFont="1" applyAlignment="1" applyProtection="1">
      <alignment vertical="center"/>
      <protection locked="0"/>
    </xf>
    <xf numFmtId="0" fontId="15" fillId="0" borderId="3" xfId="0" applyFont="1" applyBorder="1" applyProtection="1">
      <protection locked="0"/>
    </xf>
    <xf numFmtId="0" fontId="49"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0" fillId="6" borderId="0" xfId="0" applyFill="1" applyAlignment="1" applyProtection="1">
      <alignment horizontal="left" vertical="center"/>
      <protection locked="0"/>
    </xf>
    <xf numFmtId="0" fontId="55" fillId="0" borderId="0" xfId="0" applyFont="1" applyAlignment="1">
      <alignment horizontal="left"/>
    </xf>
    <xf numFmtId="0" fontId="0" fillId="3" borderId="0" xfId="0" applyFill="1" applyAlignment="1" applyProtection="1">
      <alignment horizontal="center" vertical="center"/>
      <protection locked="0"/>
    </xf>
    <xf numFmtId="0" fontId="0" fillId="7" borderId="0" xfId="0" applyFill="1" applyAlignment="1" applyProtection="1">
      <alignment horizontal="center" vertical="center"/>
      <protection locked="0"/>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3" xfId="0" applyFont="1" applyBorder="1" applyAlignment="1">
      <alignment horizontal="left" vertical="center" wrapText="1"/>
    </xf>
    <xf numFmtId="1" fontId="42" fillId="4" borderId="0" xfId="0" applyNumberFormat="1" applyFont="1" applyFill="1" applyAlignment="1" applyProtection="1">
      <alignment horizontal="center" vertical="center"/>
      <protection locked="0"/>
    </xf>
    <xf numFmtId="1" fontId="0" fillId="0" borderId="0" xfId="0" applyNumberFormat="1" applyAlignment="1">
      <alignment horizontal="center" vertical="center"/>
    </xf>
    <xf numFmtId="1" fontId="0" fillId="4" borderId="0" xfId="0" applyNumberFormat="1" applyFill="1" applyAlignment="1" applyProtection="1">
      <alignment horizontal="center" vertical="center"/>
      <protection locked="0"/>
    </xf>
    <xf numFmtId="2" fontId="54" fillId="0" borderId="0" xfId="0" applyNumberFormat="1" applyFont="1"/>
    <xf numFmtId="0" fontId="63" fillId="5" borderId="0" xfId="0" applyFont="1" applyFill="1" applyAlignment="1" applyProtection="1">
      <alignment vertical="center"/>
      <protection locked="0"/>
    </xf>
    <xf numFmtId="0" fontId="53" fillId="0" borderId="0" xfId="0" applyFont="1" applyAlignment="1">
      <alignment horizontal="center" vertical="center" wrapText="1"/>
    </xf>
    <xf numFmtId="0" fontId="63" fillId="7" borderId="0" xfId="0" applyFont="1" applyFill="1" applyAlignment="1" applyProtection="1">
      <alignment horizontal="center" vertical="center" wrapText="1"/>
      <protection locked="0"/>
    </xf>
    <xf numFmtId="0" fontId="66" fillId="7" borderId="0" xfId="0" applyFont="1" applyFill="1" applyAlignment="1" applyProtection="1">
      <alignment horizontal="center" vertical="center" wrapText="1"/>
      <protection locked="0"/>
    </xf>
    <xf numFmtId="0" fontId="66" fillId="0" borderId="0" xfId="0" applyFont="1" applyAlignment="1" applyProtection="1">
      <alignment vertical="center" wrapText="1"/>
      <protection locked="0"/>
    </xf>
    <xf numFmtId="0" fontId="9" fillId="7" borderId="0" xfId="0" applyFont="1" applyFill="1" applyAlignment="1" applyProtection="1">
      <alignment horizontal="center" vertical="center" wrapText="1"/>
      <protection locked="0"/>
    </xf>
    <xf numFmtId="0" fontId="31" fillId="0" borderId="0" xfId="0" applyFont="1" applyAlignment="1" applyProtection="1">
      <alignment horizontal="center" vertical="center"/>
      <protection locked="0"/>
    </xf>
    <xf numFmtId="2" fontId="61" fillId="0" borderId="4" xfId="0" applyNumberFormat="1" applyFont="1" applyBorder="1" applyAlignment="1">
      <alignment horizontal="center" vertical="center"/>
    </xf>
    <xf numFmtId="2" fontId="66" fillId="0" borderId="4" xfId="0" applyNumberFormat="1" applyFont="1" applyBorder="1" applyAlignment="1">
      <alignment horizontal="center" vertical="center"/>
    </xf>
    <xf numFmtId="2" fontId="66" fillId="0" borderId="0" xfId="0" applyNumberFormat="1" applyFont="1" applyAlignment="1">
      <alignment horizontal="center" vertical="center"/>
    </xf>
    <xf numFmtId="2" fontId="62" fillId="0" borderId="3" xfId="0" applyNumberFormat="1" applyFont="1" applyBorder="1" applyAlignment="1">
      <alignment horizontal="center" vertical="center"/>
    </xf>
    <xf numFmtId="0" fontId="22" fillId="3" borderId="0" xfId="0" applyFont="1" applyFill="1" applyAlignment="1">
      <alignment horizontal="center" vertical="center" wrapText="1"/>
    </xf>
    <xf numFmtId="2" fontId="26" fillId="3" borderId="0" xfId="0" applyNumberFormat="1" applyFont="1" applyFill="1" applyAlignment="1">
      <alignment horizontal="center" vertical="center"/>
    </xf>
    <xf numFmtId="0" fontId="66" fillId="0" borderId="0" xfId="0" applyFont="1" applyAlignment="1" applyProtection="1">
      <alignment horizontal="center" vertical="center" wrapText="1"/>
      <protection locked="0"/>
    </xf>
    <xf numFmtId="0" fontId="22" fillId="7" borderId="3" xfId="0" applyFont="1" applyFill="1" applyBorder="1" applyAlignment="1">
      <alignment horizontal="left" vertical="center"/>
    </xf>
    <xf numFmtId="0" fontId="66" fillId="0" borderId="0" xfId="0" applyFont="1" applyAlignment="1">
      <alignment horizontal="left" vertical="center" wrapText="1"/>
    </xf>
    <xf numFmtId="0" fontId="22" fillId="0" borderId="0" xfId="0" applyFont="1" applyAlignment="1">
      <alignment horizontal="right" vertical="center"/>
    </xf>
    <xf numFmtId="0" fontId="22" fillId="0" borderId="7" xfId="0" applyFont="1" applyBorder="1" applyAlignment="1">
      <alignment horizontal="left" vertical="center"/>
    </xf>
    <xf numFmtId="0" fontId="53" fillId="7" borderId="0" xfId="0" applyFont="1" applyFill="1" applyAlignment="1">
      <alignment horizontal="center" vertical="center" wrapText="1"/>
    </xf>
    <xf numFmtId="0" fontId="53" fillId="8" borderId="0" xfId="0" applyFont="1" applyFill="1" applyAlignment="1">
      <alignment horizontal="center" vertical="center" wrapText="1"/>
    </xf>
    <xf numFmtId="0" fontId="53" fillId="8" borderId="3" xfId="0" applyFont="1" applyFill="1" applyBorder="1" applyAlignment="1">
      <alignment horizontal="center" vertical="center" wrapText="1"/>
    </xf>
    <xf numFmtId="2" fontId="54" fillId="0" borderId="4" xfId="0" applyNumberFormat="1" applyFont="1" applyBorder="1"/>
    <xf numFmtId="0" fontId="53" fillId="0" borderId="4" xfId="0" applyFont="1" applyBorder="1" applyAlignment="1">
      <alignment horizontal="center"/>
    </xf>
    <xf numFmtId="2" fontId="54" fillId="0" borderId="4" xfId="1" applyNumberFormat="1" applyFont="1" applyBorder="1" applyAlignment="1">
      <alignment horizontal="center"/>
    </xf>
    <xf numFmtId="2" fontId="54" fillId="0" borderId="4" xfId="0" applyNumberFormat="1" applyFont="1" applyBorder="1" applyAlignment="1">
      <alignment horizontal="center"/>
    </xf>
    <xf numFmtId="0" fontId="54" fillId="0" borderId="4" xfId="0" applyFont="1" applyBorder="1"/>
    <xf numFmtId="0" fontId="53" fillId="0" borderId="4" xfId="0" applyFont="1" applyBorder="1" applyAlignment="1">
      <alignment horizontal="right"/>
    </xf>
    <xf numFmtId="2" fontId="54" fillId="0" borderId="4" xfId="1" applyNumberFormat="1" applyFont="1" applyBorder="1" applyAlignment="1" applyProtection="1">
      <alignment horizontal="center"/>
    </xf>
    <xf numFmtId="164" fontId="54" fillId="0" borderId="4" xfId="1" applyNumberFormat="1" applyFont="1" applyBorder="1" applyAlignment="1" applyProtection="1">
      <alignment horizontal="center"/>
    </xf>
    <xf numFmtId="0" fontId="72" fillId="0" borderId="3" xfId="0" applyFont="1" applyBorder="1" applyProtection="1">
      <protection locked="0"/>
    </xf>
    <xf numFmtId="0" fontId="72" fillId="0" borderId="3" xfId="0" applyFont="1" applyBorder="1" applyAlignment="1" applyProtection="1">
      <alignment vertical="center"/>
      <protection locked="0"/>
    </xf>
    <xf numFmtId="0" fontId="73" fillId="0" borderId="4" xfId="0" applyFont="1" applyBorder="1" applyAlignment="1" applyProtection="1">
      <alignment vertical="center"/>
      <protection locked="0"/>
    </xf>
    <xf numFmtId="0" fontId="74" fillId="10" borderId="0" xfId="0" applyFont="1" applyFill="1" applyAlignment="1" applyProtection="1">
      <alignment horizontal="center" vertical="center"/>
      <protection locked="0"/>
    </xf>
    <xf numFmtId="0" fontId="75" fillId="0" borderId="0" xfId="0" applyFont="1" applyAlignment="1" applyProtection="1">
      <alignment horizontal="center" vertical="center" wrapText="1"/>
      <protection locked="0"/>
    </xf>
    <xf numFmtId="0" fontId="73" fillId="0" borderId="0" xfId="0" applyFont="1" applyAlignment="1" applyProtection="1">
      <alignment vertical="center"/>
      <protection locked="0"/>
    </xf>
    <xf numFmtId="0" fontId="76" fillId="10" borderId="0" xfId="0" applyFont="1" applyFill="1" applyAlignment="1" applyProtection="1">
      <alignment horizontal="center" vertical="center"/>
      <protection locked="0"/>
    </xf>
    <xf numFmtId="0" fontId="77" fillId="0" borderId="0" xfId="0" applyFont="1" applyAlignment="1" applyProtection="1">
      <alignment horizontal="center" vertical="center"/>
      <protection locked="0"/>
    </xf>
    <xf numFmtId="0" fontId="9" fillId="12" borderId="0" xfId="0" applyFont="1" applyFill="1" applyAlignment="1" applyProtection="1">
      <alignment horizontal="center" vertical="center" wrapText="1"/>
      <protection locked="0"/>
    </xf>
    <xf numFmtId="0" fontId="0" fillId="12" borderId="0" xfId="0" applyFill="1" applyAlignment="1" applyProtection="1">
      <alignment horizontal="center" vertical="center"/>
      <protection locked="0"/>
    </xf>
    <xf numFmtId="0" fontId="80" fillId="13" borderId="3" xfId="0" applyFont="1" applyFill="1" applyBorder="1" applyAlignment="1">
      <alignment horizontal="center" vertical="center"/>
    </xf>
    <xf numFmtId="0" fontId="81" fillId="13" borderId="3" xfId="0" applyFont="1" applyFill="1" applyBorder="1" applyAlignment="1">
      <alignment horizontal="center" vertical="center"/>
    </xf>
    <xf numFmtId="0" fontId="82" fillId="0" borderId="3" xfId="0" applyFont="1" applyBorder="1" applyAlignment="1" applyProtection="1">
      <alignment horizontal="center" wrapText="1"/>
      <protection locked="0"/>
    </xf>
    <xf numFmtId="0" fontId="83" fillId="0" borderId="3" xfId="0" applyFont="1" applyBorder="1" applyAlignment="1" applyProtection="1">
      <alignment horizontal="center"/>
      <protection locked="0"/>
    </xf>
    <xf numFmtId="0" fontId="80" fillId="0" borderId="0" xfId="0" applyFont="1" applyAlignment="1">
      <alignment horizontal="center" vertical="center"/>
    </xf>
    <xf numFmtId="2" fontId="84" fillId="0" borderId="0" xfId="0" applyNumberFormat="1" applyFont="1" applyAlignment="1">
      <alignment horizontal="center" vertical="center"/>
    </xf>
    <xf numFmtId="0" fontId="85" fillId="0" borderId="0" xfId="0" applyFont="1" applyAlignment="1">
      <alignment horizontal="left" vertical="center"/>
    </xf>
    <xf numFmtId="0" fontId="0" fillId="10" borderId="0" xfId="0" applyFill="1" applyAlignment="1" applyProtection="1">
      <alignment horizontal="center" vertical="center"/>
      <protection locked="0"/>
    </xf>
    <xf numFmtId="0" fontId="86" fillId="0" borderId="0" xfId="0" applyFont="1" applyAlignment="1">
      <alignment horizontal="center" vertical="center"/>
    </xf>
    <xf numFmtId="0" fontId="86" fillId="10" borderId="0" xfId="0" applyFont="1" applyFill="1" applyAlignment="1" applyProtection="1">
      <alignment horizontal="center" vertical="center"/>
      <protection locked="0"/>
    </xf>
    <xf numFmtId="0" fontId="80" fillId="0" borderId="3" xfId="0" applyFont="1" applyBorder="1" applyAlignment="1">
      <alignment horizontal="center" vertical="center" wrapText="1"/>
    </xf>
    <xf numFmtId="2" fontId="84" fillId="0" borderId="3" xfId="0" applyNumberFormat="1" applyFont="1" applyBorder="1" applyAlignment="1">
      <alignment horizontal="center" vertical="center"/>
    </xf>
    <xf numFmtId="0" fontId="55" fillId="0" borderId="0" xfId="0" applyFont="1" applyAlignment="1" applyProtection="1">
      <alignment horizontal="left" vertical="center" wrapText="1"/>
      <protection locked="0"/>
    </xf>
    <xf numFmtId="0" fontId="88" fillId="0" borderId="0" xfId="0" applyFont="1" applyAlignment="1" applyProtection="1">
      <alignment horizontal="center" vertical="center" wrapText="1"/>
      <protection locked="0"/>
    </xf>
    <xf numFmtId="0" fontId="85" fillId="0" borderId="0" xfId="0" applyFont="1" applyAlignment="1" applyProtection="1">
      <alignment horizontal="center" vertical="center"/>
      <protection locked="0"/>
    </xf>
    <xf numFmtId="2" fontId="90" fillId="0" borderId="0" xfId="0" applyNumberFormat="1" applyFont="1" applyAlignment="1">
      <alignment horizontal="center" vertical="center"/>
    </xf>
    <xf numFmtId="0" fontId="91" fillId="0" borderId="0" xfId="0" applyFont="1" applyAlignment="1" applyProtection="1">
      <alignment horizontal="center" vertical="center"/>
      <protection locked="0"/>
    </xf>
    <xf numFmtId="0" fontId="92" fillId="0" borderId="0" xfId="0" applyFont="1" applyAlignment="1" applyProtection="1">
      <alignment horizontal="center" vertical="center" wrapText="1"/>
      <protection locked="0"/>
    </xf>
    <xf numFmtId="0" fontId="80" fillId="0" borderId="3" xfId="0" applyFont="1" applyBorder="1" applyAlignment="1">
      <alignment horizontal="center" vertical="center"/>
    </xf>
    <xf numFmtId="2" fontId="90" fillId="0" borderId="3" xfId="0" applyNumberFormat="1" applyFont="1" applyBorder="1" applyAlignment="1">
      <alignment horizontal="center" vertical="center"/>
    </xf>
    <xf numFmtId="0" fontId="60" fillId="0" borderId="0" xfId="0" applyFont="1" applyAlignment="1">
      <alignment vertical="center" wrapText="1"/>
    </xf>
    <xf numFmtId="0" fontId="8" fillId="0" borderId="2" xfId="0" applyFont="1" applyBorder="1" applyAlignment="1">
      <alignment horizontal="left" vertical="center"/>
    </xf>
    <xf numFmtId="0" fontId="8" fillId="0" borderId="2" xfId="0" applyFont="1" applyBorder="1" applyAlignment="1">
      <alignment vertical="center"/>
    </xf>
    <xf numFmtId="0" fontId="13" fillId="2" borderId="0" xfId="2" applyFont="1" applyBorder="1" applyAlignment="1">
      <alignment horizontal="center" vertical="center"/>
    </xf>
    <xf numFmtId="0" fontId="11" fillId="0" borderId="0" xfId="3" applyAlignment="1"/>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3" fillId="3" borderId="0" xfId="0" applyFont="1" applyFill="1" applyAlignment="1">
      <alignment horizontal="center" vertical="center"/>
    </xf>
    <xf numFmtId="0" fontId="7" fillId="0" borderId="0" xfId="0" applyFont="1" applyAlignment="1">
      <alignment horizontal="center" vertical="center"/>
    </xf>
    <xf numFmtId="0" fontId="10" fillId="3" borderId="0" xfId="3" applyFont="1" applyFill="1" applyAlignment="1">
      <alignment horizontal="center" vertical="center" wrapText="1"/>
    </xf>
    <xf numFmtId="0" fontId="16" fillId="5" borderId="0" xfId="0" applyFont="1" applyFill="1" applyAlignment="1" applyProtection="1">
      <alignment horizontal="center" vertical="center"/>
      <protection locked="0"/>
    </xf>
    <xf numFmtId="0" fontId="9" fillId="3" borderId="0" xfId="0" applyFont="1" applyFill="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2" fontId="27" fillId="0" borderId="3" xfId="0" applyNumberFormat="1" applyFont="1" applyBorder="1" applyAlignment="1">
      <alignment horizontal="center" vertical="center"/>
    </xf>
    <xf numFmtId="0" fontId="35" fillId="0" borderId="4"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17" fillId="6" borderId="0" xfId="0" applyFont="1" applyFill="1" applyAlignment="1" applyProtection="1">
      <alignment horizontal="center" vertical="center" wrapText="1"/>
      <protection locked="0"/>
    </xf>
    <xf numFmtId="0" fontId="19" fillId="7" borderId="0" xfId="0" applyFont="1" applyFill="1" applyAlignment="1" applyProtection="1">
      <alignment horizontal="center" vertical="center"/>
      <protection locked="0"/>
    </xf>
    <xf numFmtId="0" fontId="20" fillId="0" borderId="0" xfId="0" applyFont="1" applyAlignment="1" applyProtection="1">
      <alignment horizontal="center" vertical="center"/>
      <protection locked="0"/>
    </xf>
    <xf numFmtId="2" fontId="27" fillId="0" borderId="0" xfId="0" applyNumberFormat="1" applyFont="1" applyAlignment="1">
      <alignment horizontal="center" vertical="center"/>
    </xf>
    <xf numFmtId="0" fontId="37" fillId="0" borderId="6" xfId="0" applyFont="1" applyBorder="1" applyAlignment="1">
      <alignment horizontal="right" vertical="center"/>
    </xf>
    <xf numFmtId="0" fontId="70" fillId="3" borderId="0" xfId="3" applyFont="1" applyFill="1" applyAlignment="1" applyProtection="1">
      <alignment horizontal="center" vertical="center" wrapText="1"/>
      <protection locked="0"/>
    </xf>
    <xf numFmtId="0" fontId="11" fillId="3" borderId="0" xfId="3" applyFill="1" applyAlignment="1" applyProtection="1">
      <alignment horizontal="center" vertical="center" wrapText="1"/>
      <protection locked="0"/>
    </xf>
    <xf numFmtId="2" fontId="27" fillId="3" borderId="0" xfId="0" applyNumberFormat="1" applyFont="1" applyFill="1" applyAlignment="1">
      <alignment horizontal="center" vertical="center"/>
    </xf>
    <xf numFmtId="0" fontId="11" fillId="3" borderId="0" xfId="3" applyFill="1" applyBorder="1" applyAlignment="1" applyProtection="1">
      <alignment horizontal="center" vertical="center" wrapText="1"/>
      <protection locked="0"/>
    </xf>
    <xf numFmtId="2" fontId="11" fillId="3" borderId="4" xfId="3" applyNumberFormat="1" applyFill="1" applyBorder="1" applyAlignment="1">
      <alignment horizontal="center" vertical="center"/>
    </xf>
    <xf numFmtId="0" fontId="67" fillId="0" borderId="0" xfId="0" applyFont="1" applyAlignment="1" applyProtection="1">
      <alignment horizontal="left" vertical="center"/>
      <protection locked="0"/>
    </xf>
    <xf numFmtId="0" fontId="35" fillId="0" borderId="8" xfId="0"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0" fontId="44" fillId="3" borderId="0" xfId="0" applyFont="1" applyFill="1" applyAlignment="1" applyProtection="1">
      <alignment horizontal="center" vertical="center" wrapText="1"/>
      <protection locked="0"/>
    </xf>
    <xf numFmtId="0" fontId="16" fillId="3" borderId="0" xfId="0" applyFont="1" applyFill="1" applyAlignment="1" applyProtection="1">
      <alignment horizontal="center" vertical="center" wrapText="1"/>
      <protection locked="0"/>
    </xf>
    <xf numFmtId="0" fontId="43" fillId="3" borderId="0" xfId="0" applyFont="1" applyFill="1" applyAlignment="1" applyProtection="1">
      <alignment horizontal="center" vertical="center" wrapText="1"/>
      <protection locked="0"/>
    </xf>
    <xf numFmtId="0" fontId="37" fillId="0" borderId="0" xfId="0" applyFont="1" applyAlignment="1">
      <alignment horizontal="right" vertical="center"/>
    </xf>
    <xf numFmtId="0" fontId="11" fillId="3" borderId="0" xfId="3" applyFill="1" applyAlignment="1" applyProtection="1">
      <alignment horizontal="center" vertical="center"/>
      <protection locked="0"/>
    </xf>
    <xf numFmtId="0" fontId="60" fillId="0" borderId="0" xfId="0" applyFont="1" applyAlignment="1">
      <alignment horizontal="center" vertical="center" wrapText="1"/>
    </xf>
    <xf numFmtId="0" fontId="60" fillId="0" borderId="3" xfId="0" applyFont="1" applyBorder="1" applyAlignment="1">
      <alignment horizontal="center" vertical="center" wrapText="1"/>
    </xf>
    <xf numFmtId="0" fontId="11" fillId="3" borderId="0" xfId="3" applyFill="1" applyBorder="1" applyAlignment="1" applyProtection="1">
      <alignment horizontal="center" vertical="center"/>
      <protection locked="0"/>
    </xf>
    <xf numFmtId="0" fontId="22" fillId="7" borderId="3" xfId="0" applyFont="1" applyFill="1" applyBorder="1" applyAlignment="1">
      <alignment horizontal="center" vertical="center" wrapText="1"/>
    </xf>
    <xf numFmtId="0" fontId="22" fillId="7" borderId="3" xfId="0" applyFont="1" applyFill="1" applyBorder="1" applyAlignment="1">
      <alignment horizontal="center" vertical="center"/>
    </xf>
    <xf numFmtId="0" fontId="22" fillId="3" borderId="0" xfId="0" applyFont="1" applyFill="1" applyAlignment="1">
      <alignment horizontal="center" vertical="center" wrapText="1"/>
    </xf>
    <xf numFmtId="0" fontId="0" fillId="3" borderId="0" xfId="0" applyFill="1" applyAlignment="1" applyProtection="1">
      <alignment horizontal="center" vertical="center"/>
      <protection locked="0"/>
    </xf>
    <xf numFmtId="0" fontId="22" fillId="7" borderId="0" xfId="0" applyFont="1" applyFill="1" applyAlignment="1">
      <alignment horizontal="center" vertical="center"/>
    </xf>
    <xf numFmtId="0" fontId="0" fillId="7" borderId="0" xfId="0" applyFill="1" applyAlignment="1" applyProtection="1">
      <alignment horizontal="center" vertical="center"/>
      <protection locked="0"/>
    </xf>
    <xf numFmtId="0" fontId="22" fillId="0" borderId="0" xfId="0" applyFont="1" applyAlignment="1">
      <alignment horizontal="center" vertical="center" wrapText="1"/>
    </xf>
    <xf numFmtId="0" fontId="63" fillId="5" borderId="0" xfId="0" applyFont="1" applyFill="1" applyAlignment="1" applyProtection="1">
      <alignment horizontal="center" vertical="center"/>
      <protection locked="0"/>
    </xf>
    <xf numFmtId="0" fontId="60" fillId="0" borderId="4" xfId="0" applyFont="1" applyBorder="1" applyAlignment="1">
      <alignment horizontal="center" vertical="center" wrapText="1"/>
    </xf>
    <xf numFmtId="0" fontId="9" fillId="11" borderId="0" xfId="0" applyFont="1" applyFill="1" applyAlignment="1" applyProtection="1">
      <alignment horizontal="center" vertical="center" wrapText="1"/>
      <protection locked="0"/>
    </xf>
    <xf numFmtId="0" fontId="0" fillId="0" borderId="0" xfId="0" applyProtection="1">
      <protection locked="0"/>
    </xf>
    <xf numFmtId="0" fontId="16" fillId="9" borderId="0" xfId="0" applyFont="1" applyFill="1" applyAlignment="1" applyProtection="1">
      <alignment horizontal="center" vertical="center"/>
      <protection locked="0"/>
    </xf>
    <xf numFmtId="0" fontId="75" fillId="0" borderId="0" xfId="0" applyFont="1" applyAlignment="1" applyProtection="1">
      <alignment horizontal="center" vertical="center" wrapText="1"/>
      <protection locked="0"/>
    </xf>
    <xf numFmtId="0" fontId="0" fillId="0" borderId="0" xfId="0" applyAlignment="1" applyProtection="1">
      <alignment horizontal="center" vertical="center"/>
      <protection locked="0"/>
    </xf>
    <xf numFmtId="0" fontId="87" fillId="0" borderId="0" xfId="0" applyFont="1" applyAlignment="1" applyProtection="1">
      <alignment horizontal="center" vertical="center" wrapText="1"/>
      <protection locked="0"/>
    </xf>
    <xf numFmtId="0" fontId="89" fillId="0" borderId="0" xfId="0" applyFont="1" applyAlignment="1">
      <alignment horizontal="right" vertical="center"/>
    </xf>
    <xf numFmtId="2" fontId="84" fillId="0" borderId="0" xfId="0" applyNumberFormat="1" applyFont="1" applyAlignment="1">
      <alignment horizontal="center" vertical="center"/>
    </xf>
    <xf numFmtId="2" fontId="84" fillId="0" borderId="3" xfId="0" applyNumberFormat="1" applyFont="1" applyBorder="1" applyAlignment="1">
      <alignment horizontal="center" vertical="center"/>
    </xf>
    <xf numFmtId="0" fontId="0" fillId="0" borderId="3" xfId="0" applyBorder="1"/>
    <xf numFmtId="0" fontId="68" fillId="9" borderId="0" xfId="0" applyFont="1" applyFill="1" applyAlignment="1" applyProtection="1">
      <alignment horizontal="center" vertical="center"/>
      <protection locked="0"/>
    </xf>
    <xf numFmtId="0" fontId="78" fillId="12" borderId="0" xfId="0" applyFont="1" applyFill="1" applyAlignment="1" applyProtection="1">
      <alignment horizontal="center" vertical="center" wrapText="1"/>
      <protection locked="0"/>
    </xf>
    <xf numFmtId="0" fontId="79" fillId="13" borderId="0" xfId="0" applyFont="1" applyFill="1" applyAlignment="1" applyProtection="1">
      <alignment horizontal="center" vertical="center"/>
      <protection locked="0"/>
    </xf>
    <xf numFmtId="0" fontId="51" fillId="6" borderId="0" xfId="0" applyFont="1" applyFill="1" applyAlignment="1" applyProtection="1">
      <alignment horizontal="center" wrapText="1"/>
      <protection locked="0"/>
    </xf>
    <xf numFmtId="0" fontId="56" fillId="6" borderId="0" xfId="0" applyFont="1" applyFill="1" applyAlignment="1" applyProtection="1">
      <alignment horizontal="center" wrapText="1"/>
      <protection locked="0"/>
    </xf>
    <xf numFmtId="0" fontId="35" fillId="0" borderId="10" xfId="0" applyFont="1" applyBorder="1" applyAlignment="1" applyProtection="1">
      <alignment horizontal="center" vertical="center" wrapText="1"/>
      <protection locked="0"/>
    </xf>
    <xf numFmtId="0" fontId="63" fillId="0" borderId="0" xfId="0" applyFont="1" applyAlignment="1" applyProtection="1">
      <alignment horizontal="left" vertical="center"/>
      <protection locked="0"/>
    </xf>
    <xf numFmtId="2" fontId="27" fillId="0" borderId="4" xfId="0" applyNumberFormat="1" applyFont="1" applyBorder="1" applyAlignment="1">
      <alignment horizontal="center" vertical="center"/>
    </xf>
    <xf numFmtId="0" fontId="68" fillId="5" borderId="0" xfId="0" applyFont="1" applyFill="1" applyAlignment="1" applyProtection="1">
      <alignment horizontal="center" vertical="center"/>
      <protection locked="0"/>
    </xf>
    <xf numFmtId="0" fontId="53" fillId="8" borderId="0" xfId="0" applyFont="1" applyFill="1" applyAlignment="1">
      <alignment horizontal="center" vertical="center" wrapText="1"/>
    </xf>
    <xf numFmtId="0" fontId="53" fillId="7" borderId="0" xfId="0" applyFont="1" applyFill="1" applyAlignment="1">
      <alignment horizontal="center" vertical="center" wrapText="1"/>
    </xf>
    <xf numFmtId="0" fontId="9" fillId="3" borderId="0" xfId="0" applyFont="1" applyFill="1" applyAlignment="1" applyProtection="1">
      <alignment horizontal="left" vertical="center" wrapText="1"/>
      <protection locked="0"/>
    </xf>
    <xf numFmtId="0" fontId="66" fillId="0" borderId="0" xfId="0" applyFont="1" applyAlignment="1" applyProtection="1">
      <alignment horizontal="center" vertical="center" wrapText="1"/>
      <protection locked="0"/>
    </xf>
    <xf numFmtId="0" fontId="66" fillId="8" borderId="0" xfId="0" applyFont="1" applyFill="1" applyAlignment="1" applyProtection="1">
      <alignment horizontal="center" vertical="center" wrapText="1"/>
      <protection locked="0"/>
    </xf>
    <xf numFmtId="0" fontId="66" fillId="7" borderId="0" xfId="0" applyFont="1" applyFill="1" applyAlignment="1" applyProtection="1">
      <alignment horizontal="center" vertical="center" wrapText="1"/>
      <protection locked="0"/>
    </xf>
    <xf numFmtId="0" fontId="64" fillId="3" borderId="0" xfId="0" applyFont="1" applyFill="1" applyAlignment="1" applyProtection="1">
      <alignment horizontal="center" vertical="center"/>
      <protection locked="0"/>
    </xf>
    <xf numFmtId="2" fontId="26" fillId="0" borderId="0" xfId="1" applyNumberFormat="1" applyFont="1" applyBorder="1" applyAlignment="1" applyProtection="1">
      <alignment horizontal="center" vertical="center"/>
    </xf>
    <xf numFmtId="2" fontId="26" fillId="0" borderId="2" xfId="1" applyNumberFormat="1" applyFont="1" applyBorder="1" applyAlignment="1" applyProtection="1">
      <alignment horizontal="center" vertical="center"/>
    </xf>
    <xf numFmtId="2" fontId="26" fillId="0" borderId="10" xfId="1" applyNumberFormat="1" applyFont="1" applyBorder="1" applyAlignment="1" applyProtection="1">
      <alignment horizontal="center" vertical="center"/>
    </xf>
    <xf numFmtId="2" fontId="26" fillId="0" borderId="3" xfId="1" applyNumberFormat="1" applyFont="1" applyBorder="1" applyAlignment="1" applyProtection="1">
      <alignment horizontal="center" vertical="center"/>
    </xf>
    <xf numFmtId="2" fontId="65" fillId="0" borderId="0" xfId="0" applyNumberFormat="1" applyFont="1" applyAlignment="1">
      <alignment horizontal="center" vertical="center"/>
    </xf>
    <xf numFmtId="2" fontId="65" fillId="0" borderId="3" xfId="0" applyNumberFormat="1" applyFont="1" applyBorder="1" applyAlignment="1">
      <alignment horizontal="center" vertical="center"/>
    </xf>
    <xf numFmtId="0" fontId="11" fillId="0" borderId="9" xfId="3" applyBorder="1" applyAlignment="1">
      <alignment horizontal="center" vertical="center"/>
    </xf>
    <xf numFmtId="0" fontId="52" fillId="5" borderId="0" xfId="0" applyFont="1" applyFill="1" applyAlignment="1">
      <alignment horizontal="center" vertical="center"/>
    </xf>
    <xf numFmtId="0" fontId="52" fillId="5" borderId="11" xfId="0" applyFont="1" applyFill="1" applyBorder="1" applyAlignment="1">
      <alignment horizontal="center" vertical="center"/>
    </xf>
  </cellXfs>
  <cellStyles count="4">
    <cellStyle name="Calculation" xfId="2" builtinId="22"/>
    <cellStyle name="Currency" xfId="1"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141605</xdr:colOff>
      <xdr:row>1</xdr:row>
      <xdr:rowOff>13123</xdr:rowOff>
    </xdr:from>
    <xdr:to>
      <xdr:col>5</xdr:col>
      <xdr:colOff>132512</xdr:colOff>
      <xdr:row>1</xdr:row>
      <xdr:rowOff>978843</xdr:rowOff>
    </xdr:to>
    <xdr:pic>
      <xdr:nvPicPr>
        <xdr:cNvPr id="2" name="Obraz 2">
          <a:extLst>
            <a:ext uri="{FF2B5EF4-FFF2-40B4-BE49-F238E27FC236}">
              <a16:creationId xmlns:a16="http://schemas.microsoft.com/office/drawing/2014/main" id="{6B8519AF-A5C1-41C5-AE14-66247C155FEA}"/>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146000"/>
                  </a14:imgEffect>
                  <a14:imgEffect>
                    <a14:brightnessContrast bright="1000"/>
                  </a14:imgEffect>
                </a14:imgLayer>
              </a14:imgProps>
            </a:ext>
            <a:ext uri="{28A0092B-C50C-407E-A947-70E740481C1C}">
              <a14:useLocalDpi xmlns:a14="http://schemas.microsoft.com/office/drawing/2010/main" val="0"/>
            </a:ext>
          </a:extLst>
        </a:blip>
        <a:stretch>
          <a:fillRect/>
        </a:stretch>
      </xdr:blipFill>
      <xdr:spPr>
        <a:xfrm>
          <a:off x="530225" y="197908"/>
          <a:ext cx="2231187" cy="957148"/>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qtalbums.reamaze.com/kb/general-info-and-policies/order-turnaround" TargetMode="External"/><Relationship Id="rId2" Type="http://schemas.openxmlformats.org/officeDocument/2006/relationships/hyperlink" Target="https://qtalbums.reamaze.com/articles/shipping" TargetMode="External"/><Relationship Id="rId1" Type="http://schemas.openxmlformats.org/officeDocument/2006/relationships/hyperlink" Target="https://ec.europa.eu/taxation_customs/vies/?locale=e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qtalbums.reamaze.com/kb/general-info-and-policies/shipping-information-for-eur-store-user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qtalbums.reamaze.com/kb/other-product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qtalbums.reamaze.com/kb/other-products"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qtalbums.reamaze.com/kb/other-products"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qtalbums.reamaze.com/kb/other-products"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6.bin"/><Relationship Id="rId1" Type="http://schemas.openxmlformats.org/officeDocument/2006/relationships/hyperlink" Target="https://qtalbums.reamaze.com/kb/other-products" TargetMode="Externa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qtalbums.reamaze.com/kb/other-products" TargetMode="Externa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qtalbums.reamaze.com/kb/other-products"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3BE2F-FBF4-4C09-8581-C54BC8BFEC5E}">
  <sheetPr codeName="Sheet1">
    <pageSetUpPr fitToPage="1"/>
  </sheetPr>
  <dimension ref="B2:O44"/>
  <sheetViews>
    <sheetView showGridLines="0" tabSelected="1" zoomScaleNormal="100" workbookViewId="0"/>
  </sheetViews>
  <sheetFormatPr defaultRowHeight="14.25"/>
  <cols>
    <col min="1" max="1" width="3.86328125" customWidth="1"/>
    <col min="2" max="2" width="8.73046875" customWidth="1"/>
    <col min="3" max="3" width="12.73046875" customWidth="1"/>
    <col min="4" max="4" width="2.265625" customWidth="1"/>
    <col min="5" max="5" width="8.73046875" customWidth="1"/>
    <col min="6" max="6" width="12.73046875" customWidth="1"/>
    <col min="7" max="7" width="2.265625" customWidth="1"/>
    <col min="8" max="8" width="8.73046875" customWidth="1"/>
    <col min="9" max="9" width="12.73046875" customWidth="1"/>
    <col min="10" max="10" width="2.265625" customWidth="1"/>
    <col min="11" max="11" width="8.73046875" customWidth="1"/>
    <col min="12" max="12" width="12.73046875" customWidth="1"/>
    <col min="13" max="13" width="2.265625" customWidth="1"/>
    <col min="14" max="14" width="8.73046875" customWidth="1"/>
    <col min="15" max="15" width="12.73046875" customWidth="1"/>
    <col min="16" max="16" width="3.86328125" customWidth="1"/>
  </cols>
  <sheetData>
    <row r="2" spans="2:15" ht="80.650000000000006" customHeight="1">
      <c r="B2" s="191"/>
      <c r="C2" s="191"/>
      <c r="D2" s="191"/>
      <c r="E2" s="191"/>
      <c r="F2" s="192" t="s">
        <v>402</v>
      </c>
      <c r="G2" s="193"/>
      <c r="H2" s="193"/>
      <c r="I2" s="193"/>
      <c r="J2" s="193"/>
      <c r="K2" s="193"/>
      <c r="L2" s="193"/>
      <c r="M2" s="193"/>
      <c r="N2" s="193"/>
      <c r="O2" s="193"/>
    </row>
    <row r="3" spans="2:15" ht="15.4" customHeight="1">
      <c r="B3" s="194"/>
      <c r="C3" s="194"/>
      <c r="D3" s="194"/>
      <c r="E3" s="194"/>
      <c r="F3" s="194"/>
      <c r="G3" s="194"/>
      <c r="H3" s="194"/>
      <c r="I3" s="194"/>
      <c r="J3" s="194"/>
      <c r="K3" s="194"/>
      <c r="L3" s="194"/>
      <c r="M3" s="194"/>
      <c r="N3" s="194"/>
      <c r="O3" s="194"/>
    </row>
    <row r="4" spans="2:15" s="1" customFormat="1" ht="28.15" customHeight="1">
      <c r="B4" s="187" t="s">
        <v>0</v>
      </c>
      <c r="C4" s="187"/>
      <c r="D4" s="187"/>
      <c r="E4" s="187"/>
      <c r="F4" s="187"/>
      <c r="G4" s="187"/>
      <c r="H4" s="187"/>
      <c r="I4" s="187"/>
      <c r="J4" s="187"/>
      <c r="K4" s="187"/>
      <c r="L4" s="187"/>
      <c r="M4" s="187"/>
      <c r="N4" s="187"/>
      <c r="O4" s="187"/>
    </row>
    <row r="5" spans="2:15" s="1" customFormat="1" ht="10.15" customHeight="1">
      <c r="B5" s="2"/>
      <c r="C5" s="2"/>
      <c r="D5" s="2"/>
      <c r="E5" s="2"/>
      <c r="F5" s="2"/>
      <c r="G5" s="2"/>
      <c r="H5" s="2"/>
      <c r="I5" s="2"/>
      <c r="J5" s="2"/>
      <c r="K5" s="2"/>
      <c r="L5" s="2"/>
      <c r="M5" s="2"/>
      <c r="N5" s="2"/>
      <c r="O5" s="2"/>
    </row>
    <row r="6" spans="2:15" s="3" customFormat="1" ht="30" customHeight="1">
      <c r="B6" s="195" t="s">
        <v>1</v>
      </c>
      <c r="C6" s="195"/>
      <c r="E6" s="195" t="s">
        <v>2</v>
      </c>
      <c r="F6" s="195"/>
      <c r="G6" s="4"/>
      <c r="H6" s="195" t="s">
        <v>309</v>
      </c>
      <c r="I6" s="195"/>
      <c r="J6" s="5"/>
      <c r="K6" s="195" t="s">
        <v>3</v>
      </c>
      <c r="L6" s="195"/>
      <c r="N6" s="189" t="s">
        <v>345</v>
      </c>
      <c r="O6" s="189"/>
    </row>
    <row r="7" spans="2:15" s="3" customFormat="1" ht="10.15" customHeight="1"/>
    <row r="8" spans="2:15" s="3" customFormat="1" ht="29.65" customHeight="1">
      <c r="B8" s="189" t="s">
        <v>5</v>
      </c>
      <c r="C8" s="189"/>
      <c r="E8" s="189" t="s">
        <v>6</v>
      </c>
      <c r="F8" s="189"/>
      <c r="G8" s="4"/>
      <c r="H8" s="189" t="s">
        <v>136</v>
      </c>
      <c r="I8" s="189"/>
      <c r="J8" s="5"/>
      <c r="K8" s="189" t="s">
        <v>7</v>
      </c>
      <c r="L8" s="189"/>
      <c r="N8" s="189" t="s">
        <v>8</v>
      </c>
      <c r="O8" s="189"/>
    </row>
    <row r="9" spans="2:15" s="3" customFormat="1" ht="10.15" customHeight="1"/>
    <row r="10" spans="2:15" s="3" customFormat="1" ht="29.65" customHeight="1">
      <c r="B10" s="189" t="s">
        <v>321</v>
      </c>
      <c r="C10" s="189"/>
      <c r="E10" s="189" t="s">
        <v>208</v>
      </c>
      <c r="F10" s="189"/>
      <c r="G10" s="4"/>
      <c r="H10" s="189" t="s">
        <v>231</v>
      </c>
      <c r="I10" s="189"/>
      <c r="J10" s="5"/>
      <c r="K10" s="189" t="s">
        <v>232</v>
      </c>
      <c r="L10" s="189"/>
      <c r="N10" s="189" t="s">
        <v>292</v>
      </c>
      <c r="O10" s="189"/>
    </row>
    <row r="11" spans="2:15" ht="10.15" customHeight="1"/>
    <row r="12" spans="2:15" s="3" customFormat="1" ht="29.65" customHeight="1">
      <c r="B12" s="189" t="s">
        <v>259</v>
      </c>
      <c r="C12" s="189"/>
      <c r="E12" s="189" t="s">
        <v>384</v>
      </c>
      <c r="F12" s="189"/>
      <c r="H12" s="189" t="s">
        <v>9</v>
      </c>
      <c r="I12" s="189"/>
      <c r="K12" s="189" t="s">
        <v>10</v>
      </c>
      <c r="L12" s="189"/>
      <c r="N12" s="189" t="s">
        <v>4</v>
      </c>
      <c r="O12" s="189"/>
    </row>
    <row r="13" spans="2:15" ht="10.15" customHeight="1"/>
    <row r="14" spans="2:15" ht="15.4" customHeight="1"/>
    <row r="15" spans="2:15" ht="28.15" customHeight="1">
      <c r="B15" s="187" t="s">
        <v>11</v>
      </c>
      <c r="C15" s="187"/>
      <c r="D15" s="187"/>
      <c r="E15" s="187"/>
      <c r="F15" s="187"/>
      <c r="G15" s="187"/>
      <c r="H15" s="187"/>
      <c r="I15" s="187"/>
      <c r="J15" s="187"/>
      <c r="K15" s="187"/>
      <c r="L15" s="187"/>
      <c r="M15" s="187"/>
      <c r="N15" s="187"/>
      <c r="O15" s="187"/>
    </row>
    <row r="16" spans="2:15" ht="10.15" customHeight="1"/>
    <row r="17" spans="2:15" ht="15.4" customHeight="1">
      <c r="B17" s="6"/>
      <c r="C17" t="s">
        <v>12</v>
      </c>
    </row>
    <row r="18" spans="2:15" ht="15.4" customHeight="1">
      <c r="C18" t="s">
        <v>13</v>
      </c>
    </row>
    <row r="19" spans="2:15" ht="15.4" customHeight="1"/>
    <row r="20" spans="2:15" ht="15.4" customHeight="1">
      <c r="B20" t="s">
        <v>14</v>
      </c>
    </row>
    <row r="21" spans="2:15" ht="15.4" customHeight="1"/>
    <row r="22" spans="2:15" ht="15.4" customHeight="1"/>
    <row r="23" spans="2:15" ht="15.4" customHeight="1">
      <c r="B23" s="187" t="s">
        <v>187</v>
      </c>
      <c r="C23" s="187"/>
      <c r="D23" s="187"/>
      <c r="E23" s="187"/>
      <c r="F23" s="187"/>
      <c r="G23" s="187"/>
      <c r="H23" s="187"/>
      <c r="I23" s="187"/>
      <c r="J23" s="187"/>
      <c r="K23" s="187"/>
      <c r="L23" s="187"/>
      <c r="M23" s="187"/>
      <c r="N23" s="187"/>
      <c r="O23" s="187"/>
    </row>
    <row r="25" spans="2:15">
      <c r="B25" t="s">
        <v>188</v>
      </c>
    </row>
    <row r="27" spans="2:15">
      <c r="B27" s="190" t="s">
        <v>189</v>
      </c>
      <c r="C27" s="190"/>
      <c r="D27" s="190"/>
      <c r="E27" s="190"/>
      <c r="F27" s="190"/>
    </row>
    <row r="28" spans="2:15">
      <c r="B28" s="190" t="s">
        <v>190</v>
      </c>
      <c r="C28" s="190"/>
      <c r="D28" s="190"/>
      <c r="E28" s="190"/>
      <c r="F28" s="190"/>
    </row>
    <row r="29" spans="2:15">
      <c r="B29" s="102"/>
      <c r="C29" s="102"/>
      <c r="D29" s="102"/>
      <c r="E29" s="102"/>
      <c r="F29" s="102"/>
    </row>
    <row r="31" spans="2:15" ht="16.149999999999999">
      <c r="B31" s="188" t="s">
        <v>15</v>
      </c>
      <c r="C31" s="188"/>
      <c r="D31" s="188"/>
      <c r="E31" s="188"/>
      <c r="F31" s="188"/>
      <c r="G31" s="188"/>
      <c r="H31" s="188"/>
      <c r="I31" s="188"/>
      <c r="J31" s="188"/>
      <c r="K31" s="188"/>
      <c r="L31" s="188"/>
      <c r="M31" s="188"/>
      <c r="N31" s="188"/>
      <c r="O31" s="188"/>
    </row>
    <row r="33" spans="2:3">
      <c r="B33" t="s">
        <v>185</v>
      </c>
    </row>
    <row r="35" spans="2:3">
      <c r="B35" t="s">
        <v>16</v>
      </c>
    </row>
    <row r="37" spans="2:3">
      <c r="B37" s="79" t="s">
        <v>18</v>
      </c>
    </row>
    <row r="38" spans="2:3">
      <c r="B38" s="80" t="s">
        <v>186</v>
      </c>
    </row>
    <row r="39" spans="2:3">
      <c r="B39" t="s">
        <v>19</v>
      </c>
    </row>
    <row r="40" spans="2:3">
      <c r="B40" s="77" t="s">
        <v>20</v>
      </c>
      <c r="C40" s="77"/>
    </row>
    <row r="42" spans="2:3">
      <c r="B42" s="79" t="s">
        <v>191</v>
      </c>
    </row>
    <row r="43" spans="2:3">
      <c r="B43" s="80" t="s">
        <v>17</v>
      </c>
    </row>
    <row r="44" spans="2:3">
      <c r="B44" s="80" t="s">
        <v>192</v>
      </c>
    </row>
  </sheetData>
  <sheetProtection algorithmName="SHA-512" hashValue="lOG+B9jo9rPkBTQ087PDmLGVH29yuUnUUTH2py7YK1aT7RESZl0XNQdiK07dCHG4x3NAWLwOUUxjRJnTSA2uVA==" saltValue="KE/lxJZlEyJMTA1Z5voWEw==" spinCount="100000" sheet="1" objects="1" scenarios="1"/>
  <mergeCells count="29">
    <mergeCell ref="N12:O12"/>
    <mergeCell ref="E12:F12"/>
    <mergeCell ref="B2:E2"/>
    <mergeCell ref="F2:O2"/>
    <mergeCell ref="B3:O3"/>
    <mergeCell ref="B4:O4"/>
    <mergeCell ref="B6:C6"/>
    <mergeCell ref="E6:F6"/>
    <mergeCell ref="H6:I6"/>
    <mergeCell ref="K6:L6"/>
    <mergeCell ref="N6:O6"/>
    <mergeCell ref="H12:I12"/>
    <mergeCell ref="K12:L12"/>
    <mergeCell ref="B15:O15"/>
    <mergeCell ref="B31:O31"/>
    <mergeCell ref="K8:L8"/>
    <mergeCell ref="N8:O8"/>
    <mergeCell ref="B23:O23"/>
    <mergeCell ref="B27:F27"/>
    <mergeCell ref="B28:F28"/>
    <mergeCell ref="K10:L10"/>
    <mergeCell ref="N10:O10"/>
    <mergeCell ref="B12:C12"/>
    <mergeCell ref="B8:C8"/>
    <mergeCell ref="E8:F8"/>
    <mergeCell ref="H8:I8"/>
    <mergeCell ref="B10:C10"/>
    <mergeCell ref="E10:F10"/>
    <mergeCell ref="H10:I10"/>
  </mergeCells>
  <hyperlinks>
    <hyperlink ref="B6" location="ArtBooks!A1" display="ArtBooks" xr:uid="{896C6791-59B5-4D01-A87F-7528EF9E9425}"/>
    <hyperlink ref="E6" location="ArtBooks!A1" display="ArtBooks" xr:uid="{19FB0F8A-B425-48CE-B502-E27DF3AA6AD7}"/>
    <hyperlink ref="B6:C6" location="'ArtBooks - Matte Paper'!A1" display="ArtBooks - Matte Paper" xr:uid="{31DF9C9D-D9E0-44D6-B508-BE4B17B83E57}"/>
    <hyperlink ref="B8" location="ArtBooks!A1" display="ArtBooks" xr:uid="{8819F2BB-7216-44D8-A008-81FD4278D148}"/>
    <hyperlink ref="E6:F6" location="'ArtBooks - Cotton Rag'!A1" display="ArtBook - Cotton Rag Paper" xr:uid="{CFB5C2F0-A578-4954-9110-6B7441998337}"/>
    <hyperlink ref="B8:C8" location="'AriaBooks - Classic'!A1" display="AriaBooks - Classic" xr:uid="{052CDDCA-28BB-4C49-A21D-63F2B48323BA}"/>
    <hyperlink ref="K6" location="ArtBooks!A1" display="ArtBooks" xr:uid="{3ED32FAE-DC47-4291-9346-3B06312A5B7C}"/>
    <hyperlink ref="K6:L6" location="'ArtBooks - The Journal'!A1" display="ArtBooks - The Journal" xr:uid="{639E0889-EED2-44BA-8728-BB9D526D5647}"/>
    <hyperlink ref="N6" location="ArtBooks!A1" display="ArtBooks" xr:uid="{19D9BDBA-A852-4AD1-99D6-C6F77D567B96}"/>
    <hyperlink ref="N6:O6" location="'Little QT'!A1" display="Little QT" xr:uid="{D321E720-7CD0-4F6E-A66A-A21B475D486A}"/>
    <hyperlink ref="E8" location="ArtBooks!A1" display="ArtBooks" xr:uid="{E3AAAEA0-69A6-4DC9-BD23-C7539441A90D}"/>
    <hyperlink ref="E8:F8" location="'AriaBooks - Slim'!A1" display="AriaBooks - Slim" xr:uid="{7FC0B454-517B-4EF3-8069-ACA71F55C980}"/>
    <hyperlink ref="H8" location="ArtBooks!A1" display="ArtBooks" xr:uid="{F7E4CD1E-EBE2-43D2-946F-760AE5292D2A}"/>
    <hyperlink ref="H8:I8" location="'Album Copies'!A1" display="Album Copies" xr:uid="{E20DE170-4CB7-40DA-A002-FCC32060FD4B}"/>
    <hyperlink ref="B40:C40" r:id="rId1" display="CLICK HERE TO VALIDATE" xr:uid="{D687ED12-E456-4F29-9BC4-6B1E0B0D12CE}"/>
    <hyperlink ref="N8" location="ArtBooks!A1" display="ArtBooks" xr:uid="{F4A650AB-E76E-454F-98B9-6A072CC6480D}"/>
    <hyperlink ref="N8:O8" location="'QT Pocket'!A1" display="QT Pocket" xr:uid="{B65A37B9-44C5-4EB4-8756-C834D51E3C58}"/>
    <hyperlink ref="K8" location="ArtBooks!A1" display="ArtBooks" xr:uid="{1DBF1A08-5E69-4000-AC69-EDC416251A11}"/>
    <hyperlink ref="K8:L8" location="PrimaBooks!A1" display="PrimaBooks" xr:uid="{ECD94285-635F-428C-A8D5-7AD2CF8459C5}"/>
    <hyperlink ref="B27" r:id="rId2" xr:uid="{F0593D67-4C85-449C-AE91-5366D358CF2A}"/>
    <hyperlink ref="B28" r:id="rId3" xr:uid="{0507E393-43C6-4FF5-A8F0-0B7C7F4D21B7}"/>
    <hyperlink ref="B27:F27" r:id="rId4" display="See worldwide rates" xr:uid="{09356CB5-F265-41EE-9B7A-78FC303D6C56}"/>
    <hyperlink ref="B12" location="ArtBooks!A1" display="ArtBooks" xr:uid="{7A44170B-A99C-4CC8-B3DF-4C7184743FED}"/>
    <hyperlink ref="B12:C12" location="Frames!A1" display="Frames" xr:uid="{26E24823-1A41-4EF8-A90F-2D2E1B14B53E}"/>
    <hyperlink ref="H12" location="ArtBooks!A1" display="ArtBooks" xr:uid="{C68BABD4-96D3-491F-BBC2-6B95D5D0FDD5}"/>
    <hyperlink ref="E12" location="ArtBooks!A1" display="ArtBooks" xr:uid="{27D7C051-09F1-4445-8CF5-242F95686539}"/>
    <hyperlink ref="E12:F12" location="Canvas!A1" display="Canvas" xr:uid="{09224B5A-929E-4079-B744-8CF9D9C9FBF5}"/>
    <hyperlink ref="H12:I12" location="Prints!A1" display="Prints" xr:uid="{377F0996-8392-4CB2-8162-7A3444FA088C}"/>
    <hyperlink ref="N10" location="ArtBooks!A1" display="ArtBooks" xr:uid="{E1B7BD70-06BF-44A9-875D-3A9BE3E4D993}"/>
    <hyperlink ref="N10:O10" location="'Mini QT'!A1" display="Mini QT" xr:uid="{B9C4F9E0-6954-4788-B1DA-808BF7B19A73}"/>
    <hyperlink ref="H6:I6" location="'ArtBooks - Hahnemühle Bamboo'!A1" display="ArtBooks - Hahnemühle Bamboo" xr:uid="{BD672195-CEE4-45AB-8F6B-0A6B59086BC1}"/>
    <hyperlink ref="K10" location="ArtBooks!A1" display="ArtBooks" xr:uid="{5B130A56-2827-47E9-87AA-B00BDB9C69AC}"/>
    <hyperlink ref="K10:L10" location="Folios!A1" display="Folios" xr:uid="{6D616705-FB9A-4621-B521-A094095953C1}"/>
    <hyperlink ref="H10" location="ArtBooks!A1" display="ArtBooks" xr:uid="{9182E227-49E7-4E04-B32D-A00B151497A7}"/>
    <hyperlink ref="H10:I10" location="'Slip-In Folios'!A1" display="Slip-in Folios" xr:uid="{F0196E05-0E65-4352-A9D3-2E38F331A413}"/>
    <hyperlink ref="E10" location="ArtBooks!A1" display="ArtBooks" xr:uid="{5405246D-E497-4C7C-8D01-82AA5CDB9282}"/>
    <hyperlink ref="E10:F10" location="'Slip-In Albums'!A1" display="Slip-in Matted Albums" xr:uid="{3B4C4BAF-D4D9-4C3E-9CD3-7D65B191A0F8}"/>
    <hyperlink ref="B10:C10" location="'Heirloom Books'!A1" display="Heirloom Books" xr:uid="{BB0ADE51-CE56-4E1A-95E4-9ACA944DAA94}"/>
    <hyperlink ref="N12" location="ArtBooks!A1" display="ArtBooks" xr:uid="{8ACACD81-D766-4941-A3E2-6233B2B130AE}"/>
    <hyperlink ref="N12:O12" location="'Personalisation Chart'!A1" display="Personalisaton Chart" xr:uid="{7F97E057-F031-4992-B123-E3A15689FA0B}"/>
    <hyperlink ref="K12" location="ArtBooks!A1" display="ArtBooks" xr:uid="{C1D2E3F4-A5B6-7890-CDEF-012345678901}"/>
    <hyperlink ref="K12:L12" location="'Print Boxes'!A1" display="Print Boxes" xr:uid="{D2E3F4A5-B6C7-8901-DEF0-123456789012}"/>
  </hyperlinks>
  <printOptions horizontalCentered="1"/>
  <pageMargins left="0.25" right="0.25" top="0.75" bottom="0.75" header="0.3" footer="0.3"/>
  <pageSetup paperSize="9" scale="93" orientation="landscape" r:id="rId5"/>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DC3E4-AFA4-4A08-B504-13B710FC0DEA}">
  <sheetPr codeName="Sheet2">
    <pageSetUpPr fitToPage="1"/>
  </sheetPr>
  <dimension ref="A2:W43"/>
  <sheetViews>
    <sheetView showGridLines="0" zoomScaleNormal="100" workbookViewId="0"/>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14" width="10.265625" style="25" customWidth="1"/>
    <col min="15" max="15" width="14.59765625" style="25" bestFit="1" customWidth="1"/>
    <col min="16" max="16" width="3.86328125" style="25" customWidth="1"/>
    <col min="17" max="17" width="31.265625" style="25" bestFit="1" customWidth="1"/>
    <col min="18" max="18" width="8.59765625" style="25" customWidth="1"/>
    <col min="19" max="19" width="10.265625" style="25" customWidth="1"/>
    <col min="20" max="16384" width="9.265625" style="25"/>
  </cols>
  <sheetData>
    <row r="2" spans="2:23" ht="19.149999999999999" customHeight="1" thickBot="1">
      <c r="B2" s="196" t="s">
        <v>21</v>
      </c>
      <c r="C2" s="196"/>
      <c r="D2" s="196"/>
      <c r="E2" s="196"/>
      <c r="F2" s="196"/>
      <c r="G2" s="196"/>
      <c r="H2" s="196"/>
      <c r="I2" s="196"/>
      <c r="J2" s="196"/>
      <c r="K2" s="196"/>
      <c r="L2" s="196"/>
      <c r="M2" s="196"/>
      <c r="N2" s="196"/>
      <c r="O2" s="196"/>
      <c r="Q2" s="103" t="s">
        <v>22</v>
      </c>
      <c r="R2" s="32"/>
      <c r="S2" s="11"/>
      <c r="T2" s="11"/>
      <c r="U2" s="7"/>
      <c r="V2" s="7"/>
      <c r="W2" s="7"/>
    </row>
    <row r="3" spans="2:23" ht="19.149999999999999" customHeight="1">
      <c r="B3" s="196"/>
      <c r="C3" s="196"/>
      <c r="D3" s="196"/>
      <c r="E3" s="196"/>
      <c r="F3" s="196"/>
      <c r="G3" s="196"/>
      <c r="H3" s="196"/>
      <c r="I3" s="196"/>
      <c r="J3" s="196"/>
      <c r="K3" s="196"/>
      <c r="L3" s="196"/>
      <c r="M3" s="196"/>
      <c r="N3" s="196"/>
      <c r="O3" s="196"/>
      <c r="Q3" s="104" t="s">
        <v>193</v>
      </c>
      <c r="R3" s="104"/>
      <c r="S3" s="12">
        <v>10</v>
      </c>
      <c r="T3" s="7" t="s">
        <v>23</v>
      </c>
      <c r="U3" s="13" t="s">
        <v>24</v>
      </c>
      <c r="V3" s="7"/>
      <c r="W3" s="7"/>
    </row>
    <row r="4" spans="2:23" ht="19.149999999999999" customHeight="1">
      <c r="B4" s="197" t="s">
        <v>25</v>
      </c>
      <c r="C4" s="197"/>
      <c r="D4" s="197"/>
      <c r="E4" s="197"/>
      <c r="F4" s="197"/>
      <c r="G4" s="197"/>
      <c r="H4" s="197"/>
      <c r="I4" s="197"/>
      <c r="J4" s="197"/>
      <c r="K4" s="197"/>
      <c r="L4" s="197"/>
      <c r="M4" s="197"/>
      <c r="N4" s="197"/>
      <c r="O4" s="197"/>
      <c r="Q4" s="105" t="s">
        <v>26</v>
      </c>
      <c r="R4" s="105"/>
      <c r="S4" s="15">
        <v>1</v>
      </c>
      <c r="T4" s="16" t="s">
        <v>27</v>
      </c>
      <c r="U4" s="198" t="s">
        <v>28</v>
      </c>
      <c r="V4" s="7"/>
      <c r="W4" s="7"/>
    </row>
    <row r="5" spans="2:23" ht="19.149999999999999" customHeight="1">
      <c r="B5" s="197"/>
      <c r="C5" s="197"/>
      <c r="D5" s="197"/>
      <c r="E5" s="197"/>
      <c r="F5" s="197"/>
      <c r="G5" s="197"/>
      <c r="H5" s="197"/>
      <c r="I5" s="197"/>
      <c r="J5" s="197"/>
      <c r="K5" s="197"/>
      <c r="L5" s="197"/>
      <c r="M5" s="197"/>
      <c r="N5" s="197"/>
      <c r="O5" s="197"/>
      <c r="Q5" s="105" t="s">
        <v>29</v>
      </c>
      <c r="R5" s="105"/>
      <c r="S5" s="15">
        <v>1</v>
      </c>
      <c r="T5" s="16" t="s">
        <v>27</v>
      </c>
      <c r="U5" s="198"/>
      <c r="V5" s="7"/>
      <c r="W5" s="7"/>
    </row>
    <row r="6" spans="2:23" ht="19.149999999999999" customHeight="1">
      <c r="B6" s="197"/>
      <c r="C6" s="197"/>
      <c r="D6" s="197"/>
      <c r="E6" s="197"/>
      <c r="F6" s="197"/>
      <c r="G6" s="197"/>
      <c r="H6" s="197"/>
      <c r="I6" s="197"/>
      <c r="J6" s="197"/>
      <c r="K6" s="197"/>
      <c r="L6" s="197"/>
      <c r="M6" s="197"/>
      <c r="N6" s="197"/>
      <c r="O6" s="197"/>
      <c r="Q6" s="105" t="s">
        <v>30</v>
      </c>
      <c r="R6" s="105"/>
      <c r="S6" s="15">
        <v>1</v>
      </c>
      <c r="T6" s="16" t="s">
        <v>27</v>
      </c>
      <c r="U6" s="198"/>
      <c r="V6" s="7"/>
      <c r="W6" s="7"/>
    </row>
    <row r="7" spans="2:23" s="9" customFormat="1" ht="34.9" customHeight="1">
      <c r="B7" s="8"/>
      <c r="C7" s="8"/>
      <c r="D7" s="8"/>
      <c r="E7" s="202" t="s">
        <v>31</v>
      </c>
      <c r="F7" s="202"/>
      <c r="G7" s="8"/>
      <c r="H7" s="8"/>
      <c r="I7" s="8"/>
      <c r="J7" s="8"/>
      <c r="K7" s="8"/>
      <c r="L7" s="8"/>
      <c r="M7" s="8"/>
      <c r="N7" s="8"/>
      <c r="O7" s="8"/>
    </row>
    <row r="8" spans="2:23" s="7" customFormat="1" ht="19.350000000000001" customHeight="1">
      <c r="E8" s="203" t="s">
        <v>32</v>
      </c>
      <c r="F8" s="203"/>
      <c r="G8" s="204" t="s">
        <v>33</v>
      </c>
      <c r="H8" s="204"/>
      <c r="I8" s="204"/>
      <c r="J8" s="204"/>
      <c r="K8" s="204"/>
      <c r="L8" s="204"/>
      <c r="M8" s="204"/>
      <c r="N8" s="204"/>
      <c r="O8" s="204"/>
    </row>
    <row r="9" spans="2:23" s="7" customFormat="1" ht="21.75" customHeight="1" thickBot="1">
      <c r="B9" s="55" t="s">
        <v>34</v>
      </c>
      <c r="C9" s="55" t="s">
        <v>35</v>
      </c>
      <c r="D9" s="55" t="s">
        <v>36</v>
      </c>
      <c r="E9" s="56">
        <f>S3</f>
        <v>10</v>
      </c>
      <c r="F9" s="57" t="s">
        <v>37</v>
      </c>
      <c r="G9" s="55" t="s">
        <v>38</v>
      </c>
      <c r="H9" s="55" t="s">
        <v>39</v>
      </c>
      <c r="I9" s="55" t="s">
        <v>40</v>
      </c>
      <c r="J9" s="55" t="s">
        <v>41</v>
      </c>
      <c r="K9" s="55" t="s">
        <v>42</v>
      </c>
      <c r="L9" s="55" t="s">
        <v>43</v>
      </c>
      <c r="M9" s="55" t="s">
        <v>44</v>
      </c>
      <c r="N9" s="55" t="s">
        <v>45</v>
      </c>
      <c r="O9" s="55" t="s">
        <v>46</v>
      </c>
      <c r="Q9" s="103" t="s">
        <v>47</v>
      </c>
      <c r="R9" s="32"/>
      <c r="S9" s="106" t="s">
        <v>48</v>
      </c>
      <c r="T9" s="107" t="s">
        <v>49</v>
      </c>
    </row>
    <row r="10" spans="2:23" s="7" customFormat="1" ht="19.350000000000001" customHeight="1">
      <c r="B10" s="138" t="s">
        <v>344</v>
      </c>
      <c r="C10" s="211" t="s">
        <v>343</v>
      </c>
      <c r="D10" s="211"/>
      <c r="E10" s="209"/>
      <c r="F10" s="209"/>
      <c r="G10" s="139"/>
      <c r="H10" s="139"/>
      <c r="I10" s="139"/>
      <c r="J10" s="139"/>
      <c r="K10" s="139"/>
      <c r="L10" s="139"/>
      <c r="M10" s="139"/>
      <c r="N10" s="139"/>
      <c r="O10" s="139"/>
      <c r="Q10" s="108" t="s">
        <v>51</v>
      </c>
      <c r="R10" s="18">
        <v>13</v>
      </c>
      <c r="S10" s="17">
        <v>0</v>
      </c>
      <c r="T10" s="18">
        <f t="shared" ref="T10:T27" si="0">R10*S10</f>
        <v>0</v>
      </c>
    </row>
    <row r="11" spans="2:23" s="7" customFormat="1" ht="19.149999999999999" customHeight="1">
      <c r="B11" s="61" t="s">
        <v>52</v>
      </c>
      <c r="C11" s="62">
        <f>105*$S$4</f>
        <v>105</v>
      </c>
      <c r="D11" s="62">
        <f>7*$S$5</f>
        <v>7</v>
      </c>
      <c r="E11" s="205">
        <f t="shared" ref="E11:E18" si="1">C11+(($S$3-10)*D11)+($S$33*$S$6)</f>
        <v>105</v>
      </c>
      <c r="F11" s="205"/>
      <c r="G11" s="62">
        <f t="shared" ref="G11:G18" si="2">C11+((15-10)*D11)+($S$33*$S$6)</f>
        <v>140</v>
      </c>
      <c r="H11" s="62">
        <f t="shared" ref="H11:H18" si="3">C11+((20-10)*D11)+($S$33*$S$6)</f>
        <v>175</v>
      </c>
      <c r="I11" s="62">
        <f t="shared" ref="I11:I18" si="4">C11+((25-10)*D11)+($S$33*$S$6)</f>
        <v>210</v>
      </c>
      <c r="J11" s="62">
        <f t="shared" ref="J11:J18" si="5">C11+((30-10)*D11)+($S$33*$S$6)</f>
        <v>245</v>
      </c>
      <c r="K11" s="62">
        <f t="shared" ref="K11:K18" si="6">C11+((35-10)*D11)+($S$33*$S$6)</f>
        <v>280</v>
      </c>
      <c r="L11" s="62">
        <f t="shared" ref="L11:L18" si="7">C11+((40-10)*D11)+($S$33*$S$6)</f>
        <v>315</v>
      </c>
      <c r="M11" s="62">
        <f t="shared" ref="M11:M18" si="8">C11+((45-10)*D11)+($S$33*$S$6)</f>
        <v>350</v>
      </c>
      <c r="N11" s="62">
        <f t="shared" ref="N11:N18" si="9">C11+((50-10)*D11)+($S$33*$S$6)</f>
        <v>385</v>
      </c>
      <c r="O11" s="63">
        <f t="shared" ref="O11:O18" si="10">C11+((55-10)*D11)+($S$33*$S$6)</f>
        <v>420</v>
      </c>
      <c r="Q11" s="108" t="s">
        <v>53</v>
      </c>
      <c r="R11" s="18">
        <v>45</v>
      </c>
      <c r="S11" s="17">
        <v>0</v>
      </c>
      <c r="T11" s="18">
        <f t="shared" si="0"/>
        <v>0</v>
      </c>
    </row>
    <row r="12" spans="2:23" s="7" customFormat="1" ht="19.149999999999999" customHeight="1">
      <c r="B12" s="61" t="s">
        <v>54</v>
      </c>
      <c r="C12" s="62">
        <f>115*$S$4</f>
        <v>115</v>
      </c>
      <c r="D12" s="62">
        <f>7.5*$S$5</f>
        <v>7.5</v>
      </c>
      <c r="E12" s="205">
        <f t="shared" si="1"/>
        <v>115</v>
      </c>
      <c r="F12" s="205"/>
      <c r="G12" s="62">
        <f t="shared" si="2"/>
        <v>152.5</v>
      </c>
      <c r="H12" s="62">
        <f t="shared" si="3"/>
        <v>190</v>
      </c>
      <c r="I12" s="62">
        <f t="shared" si="4"/>
        <v>227.5</v>
      </c>
      <c r="J12" s="62">
        <f t="shared" si="5"/>
        <v>265</v>
      </c>
      <c r="K12" s="62">
        <f t="shared" si="6"/>
        <v>302.5</v>
      </c>
      <c r="L12" s="62">
        <f t="shared" si="7"/>
        <v>340</v>
      </c>
      <c r="M12" s="62">
        <f t="shared" si="8"/>
        <v>377.5</v>
      </c>
      <c r="N12" s="62">
        <f t="shared" si="9"/>
        <v>415</v>
      </c>
      <c r="O12" s="63">
        <f t="shared" si="10"/>
        <v>452.5</v>
      </c>
      <c r="Q12" s="109" t="s">
        <v>55</v>
      </c>
      <c r="R12" s="18">
        <v>85</v>
      </c>
      <c r="S12" s="17">
        <v>0</v>
      </c>
      <c r="T12" s="18">
        <f t="shared" si="0"/>
        <v>0</v>
      </c>
    </row>
    <row r="13" spans="2:23" s="7" customFormat="1" ht="19.149999999999999" customHeight="1">
      <c r="B13" s="71" t="s">
        <v>56</v>
      </c>
      <c r="C13" s="62">
        <f>115*$S$4</f>
        <v>115</v>
      </c>
      <c r="D13" s="62">
        <f>7.5*$S$5</f>
        <v>7.5</v>
      </c>
      <c r="E13" s="205">
        <f t="shared" si="1"/>
        <v>115</v>
      </c>
      <c r="F13" s="205"/>
      <c r="G13" s="62">
        <f t="shared" si="2"/>
        <v>152.5</v>
      </c>
      <c r="H13" s="62">
        <f t="shared" si="3"/>
        <v>190</v>
      </c>
      <c r="I13" s="62">
        <f t="shared" si="4"/>
        <v>227.5</v>
      </c>
      <c r="J13" s="62">
        <f t="shared" si="5"/>
        <v>265</v>
      </c>
      <c r="K13" s="62">
        <f t="shared" si="6"/>
        <v>302.5</v>
      </c>
      <c r="L13" s="62">
        <f t="shared" si="7"/>
        <v>340</v>
      </c>
      <c r="M13" s="62">
        <f t="shared" si="8"/>
        <v>377.5</v>
      </c>
      <c r="N13" s="62">
        <f t="shared" si="9"/>
        <v>415</v>
      </c>
      <c r="O13" s="63">
        <f t="shared" si="10"/>
        <v>452.5</v>
      </c>
      <c r="Q13" s="109" t="s">
        <v>180</v>
      </c>
      <c r="R13" s="18">
        <v>95</v>
      </c>
      <c r="S13" s="17">
        <v>0</v>
      </c>
      <c r="T13" s="18">
        <f t="shared" si="0"/>
        <v>0</v>
      </c>
    </row>
    <row r="14" spans="2:23" s="7" customFormat="1" ht="19.149999999999999" customHeight="1">
      <c r="B14" s="61" t="s">
        <v>58</v>
      </c>
      <c r="C14" s="62">
        <f>135*$S$4</f>
        <v>135</v>
      </c>
      <c r="D14" s="62">
        <f>8*S5</f>
        <v>8</v>
      </c>
      <c r="E14" s="205">
        <f t="shared" si="1"/>
        <v>135</v>
      </c>
      <c r="F14" s="205"/>
      <c r="G14" s="62">
        <f t="shared" si="2"/>
        <v>175</v>
      </c>
      <c r="H14" s="62">
        <f t="shared" si="3"/>
        <v>215</v>
      </c>
      <c r="I14" s="62">
        <f t="shared" si="4"/>
        <v>255</v>
      </c>
      <c r="J14" s="62">
        <f t="shared" si="5"/>
        <v>295</v>
      </c>
      <c r="K14" s="62">
        <f t="shared" si="6"/>
        <v>335</v>
      </c>
      <c r="L14" s="62">
        <f t="shared" si="7"/>
        <v>375</v>
      </c>
      <c r="M14" s="62">
        <f t="shared" si="8"/>
        <v>415</v>
      </c>
      <c r="N14" s="62">
        <f t="shared" si="9"/>
        <v>455</v>
      </c>
      <c r="O14" s="63">
        <f t="shared" si="10"/>
        <v>495</v>
      </c>
      <c r="Q14" s="108" t="s">
        <v>57</v>
      </c>
      <c r="R14" s="18">
        <v>55</v>
      </c>
      <c r="S14" s="17">
        <v>0</v>
      </c>
      <c r="T14" s="18">
        <f t="shared" si="0"/>
        <v>0</v>
      </c>
    </row>
    <row r="15" spans="2:23" s="7" customFormat="1" ht="19.149999999999999" customHeight="1">
      <c r="B15" s="71" t="s">
        <v>60</v>
      </c>
      <c r="C15" s="62">
        <f>165*$S$4</f>
        <v>165</v>
      </c>
      <c r="D15" s="62">
        <f>8.5*$S$5</f>
        <v>8.5</v>
      </c>
      <c r="E15" s="205">
        <f t="shared" si="1"/>
        <v>165</v>
      </c>
      <c r="F15" s="205"/>
      <c r="G15" s="62">
        <f t="shared" si="2"/>
        <v>207.5</v>
      </c>
      <c r="H15" s="62">
        <f t="shared" si="3"/>
        <v>250</v>
      </c>
      <c r="I15" s="62">
        <f t="shared" si="4"/>
        <v>292.5</v>
      </c>
      <c r="J15" s="62">
        <f t="shared" si="5"/>
        <v>335</v>
      </c>
      <c r="K15" s="62">
        <f t="shared" si="6"/>
        <v>377.5</v>
      </c>
      <c r="L15" s="62">
        <f t="shared" si="7"/>
        <v>420</v>
      </c>
      <c r="M15" s="62">
        <f t="shared" si="8"/>
        <v>462.5</v>
      </c>
      <c r="N15" s="62">
        <f t="shared" si="9"/>
        <v>505</v>
      </c>
      <c r="O15" s="63">
        <f t="shared" si="10"/>
        <v>547.5</v>
      </c>
      <c r="Q15" s="108" t="s">
        <v>181</v>
      </c>
      <c r="R15" s="18">
        <v>18</v>
      </c>
      <c r="S15" s="17">
        <v>0</v>
      </c>
      <c r="T15" s="18">
        <f t="shared" si="0"/>
        <v>0</v>
      </c>
    </row>
    <row r="16" spans="2:23" s="7" customFormat="1" ht="19.149999999999999" customHeight="1">
      <c r="B16" s="71" t="s">
        <v>411</v>
      </c>
      <c r="C16" s="62">
        <f>200*$S$4</f>
        <v>200</v>
      </c>
      <c r="D16" s="62">
        <f>12*$S$5</f>
        <v>12</v>
      </c>
      <c r="E16" s="205">
        <f t="shared" ref="E16:E17" si="11">C16+(($S$3-10)*D16)+($S$33*$S$6)</f>
        <v>200</v>
      </c>
      <c r="F16" s="205"/>
      <c r="G16" s="62">
        <f t="shared" ref="G16:G17" si="12">C16+((15-10)*D16)+($S$33*$S$6)</f>
        <v>260</v>
      </c>
      <c r="H16" s="62">
        <f t="shared" ref="H16:H17" si="13">C16+((20-10)*D16)+($S$33*$S$6)</f>
        <v>320</v>
      </c>
      <c r="I16" s="62">
        <f t="shared" ref="I16:I17" si="14">C16+((25-10)*D16)+($S$33*$S$6)</f>
        <v>380</v>
      </c>
      <c r="J16" s="62">
        <f t="shared" ref="J16:J17" si="15">C16+((30-10)*D16)+($S$33*$S$6)</f>
        <v>440</v>
      </c>
      <c r="K16" s="62">
        <f t="shared" ref="K16:K17" si="16">C16+((35-10)*D16)+($S$33*$S$6)</f>
        <v>500</v>
      </c>
      <c r="L16" s="62">
        <f t="shared" ref="L16:L17" si="17">C16+((40-10)*D16)+($S$33*$S$6)</f>
        <v>560</v>
      </c>
      <c r="M16" s="62">
        <f t="shared" ref="M16:M17" si="18">C16+((45-10)*D16)+($S$33*$S$6)</f>
        <v>620</v>
      </c>
      <c r="N16" s="62">
        <f t="shared" ref="N16:N17" si="19">C16+((50-10)*D16)+($S$33*$S$6)</f>
        <v>680</v>
      </c>
      <c r="O16" s="63">
        <f t="shared" ref="O16:O17" si="20">C16+((55-10)*D16)+($S$33*$S$6)</f>
        <v>740</v>
      </c>
      <c r="Q16" s="110" t="s">
        <v>59</v>
      </c>
      <c r="R16" s="18">
        <v>45</v>
      </c>
      <c r="S16" s="17">
        <v>0</v>
      </c>
      <c r="T16" s="18">
        <f t="shared" si="0"/>
        <v>0</v>
      </c>
    </row>
    <row r="17" spans="1:23" s="7" customFormat="1" ht="19.149999999999999" customHeight="1">
      <c r="B17" s="71" t="s">
        <v>412</v>
      </c>
      <c r="C17" s="62">
        <f>225*$S$4</f>
        <v>225</v>
      </c>
      <c r="D17" s="62">
        <f>14*$S$5</f>
        <v>14</v>
      </c>
      <c r="E17" s="205">
        <f t="shared" si="11"/>
        <v>225</v>
      </c>
      <c r="F17" s="205"/>
      <c r="G17" s="62">
        <f t="shared" si="12"/>
        <v>295</v>
      </c>
      <c r="H17" s="62">
        <f t="shared" si="13"/>
        <v>365</v>
      </c>
      <c r="I17" s="62">
        <f t="shared" si="14"/>
        <v>435</v>
      </c>
      <c r="J17" s="62">
        <f t="shared" si="15"/>
        <v>505</v>
      </c>
      <c r="K17" s="62">
        <f t="shared" si="16"/>
        <v>575</v>
      </c>
      <c r="L17" s="62">
        <f t="shared" si="17"/>
        <v>645</v>
      </c>
      <c r="M17" s="62">
        <f t="shared" si="18"/>
        <v>715</v>
      </c>
      <c r="N17" s="62">
        <f t="shared" si="19"/>
        <v>785</v>
      </c>
      <c r="O17" s="63">
        <f t="shared" si="20"/>
        <v>855</v>
      </c>
      <c r="Q17" s="110" t="s">
        <v>253</v>
      </c>
      <c r="R17" s="18">
        <v>25</v>
      </c>
      <c r="S17" s="17">
        <v>0</v>
      </c>
      <c r="T17" s="18">
        <f t="shared" si="0"/>
        <v>0</v>
      </c>
    </row>
    <row r="18" spans="1:23" s="7" customFormat="1" ht="19.149999999999999" customHeight="1" thickBot="1">
      <c r="B18" s="68" t="s">
        <v>61</v>
      </c>
      <c r="C18" s="69">
        <f>325*$S$4</f>
        <v>325</v>
      </c>
      <c r="D18" s="69">
        <f>16*$S$5</f>
        <v>16</v>
      </c>
      <c r="E18" s="199">
        <f t="shared" si="1"/>
        <v>325</v>
      </c>
      <c r="F18" s="199"/>
      <c r="G18" s="69">
        <f t="shared" si="2"/>
        <v>405</v>
      </c>
      <c r="H18" s="69">
        <f t="shared" si="3"/>
        <v>485</v>
      </c>
      <c r="I18" s="69">
        <f t="shared" si="4"/>
        <v>565</v>
      </c>
      <c r="J18" s="69">
        <f t="shared" si="5"/>
        <v>645</v>
      </c>
      <c r="K18" s="69">
        <f t="shared" si="6"/>
        <v>725</v>
      </c>
      <c r="L18" s="69">
        <f t="shared" si="7"/>
        <v>805</v>
      </c>
      <c r="M18" s="69">
        <f t="shared" si="8"/>
        <v>885</v>
      </c>
      <c r="N18" s="69">
        <f t="shared" si="9"/>
        <v>965</v>
      </c>
      <c r="O18" s="63">
        <f t="shared" si="10"/>
        <v>1045</v>
      </c>
      <c r="Q18" s="110" t="s">
        <v>184</v>
      </c>
      <c r="R18" s="18">
        <v>30</v>
      </c>
      <c r="S18" s="17">
        <v>0</v>
      </c>
      <c r="T18" s="18">
        <f>R18*S18</f>
        <v>0</v>
      </c>
    </row>
    <row r="19" spans="1:23" s="7" customFormat="1" ht="19.149999999999999" customHeight="1">
      <c r="B19" s="200" t="s">
        <v>316</v>
      </c>
      <c r="C19" s="200"/>
      <c r="D19" s="200"/>
      <c r="E19" s="200"/>
      <c r="F19" s="200"/>
      <c r="G19" s="200"/>
      <c r="H19" s="200"/>
      <c r="I19" s="200"/>
      <c r="J19" s="200"/>
      <c r="K19" s="200"/>
      <c r="L19" s="200"/>
      <c r="M19" s="200"/>
      <c r="N19" s="200"/>
      <c r="O19" s="200"/>
      <c r="Q19" s="110" t="s">
        <v>382</v>
      </c>
      <c r="R19" s="18">
        <v>25</v>
      </c>
      <c r="S19" s="17">
        <v>0</v>
      </c>
      <c r="T19" s="18">
        <f>R19*S19</f>
        <v>0</v>
      </c>
    </row>
    <row r="20" spans="1:23" s="7" customFormat="1" ht="19.149999999999999" customHeight="1">
      <c r="B20" s="201"/>
      <c r="C20" s="201"/>
      <c r="D20" s="201"/>
      <c r="E20" s="201"/>
      <c r="F20" s="201"/>
      <c r="G20" s="201"/>
      <c r="H20" s="201"/>
      <c r="I20" s="201"/>
      <c r="J20" s="201"/>
      <c r="K20" s="201"/>
      <c r="L20" s="201"/>
      <c r="M20" s="201"/>
      <c r="N20" s="201"/>
      <c r="O20" s="201"/>
      <c r="Q20" s="110" t="s">
        <v>183</v>
      </c>
      <c r="R20" s="18">
        <v>25</v>
      </c>
      <c r="S20" s="17">
        <v>0</v>
      </c>
      <c r="T20" s="18">
        <f>R20*S20</f>
        <v>0</v>
      </c>
    </row>
    <row r="21" spans="1:23" s="7" customFormat="1" ht="19.149999999999999" customHeight="1">
      <c r="B21" s="21"/>
      <c r="C21" s="21"/>
      <c r="D21" s="21"/>
      <c r="E21" s="21"/>
      <c r="F21" s="21"/>
      <c r="G21" s="21"/>
      <c r="H21" s="21"/>
      <c r="I21" s="21"/>
      <c r="J21" s="21"/>
      <c r="K21" s="21"/>
      <c r="L21" s="21"/>
      <c r="M21" s="21"/>
      <c r="N21" s="21"/>
      <c r="O21" s="21"/>
      <c r="Q21" s="108" t="s">
        <v>62</v>
      </c>
      <c r="R21" s="18">
        <v>18</v>
      </c>
      <c r="S21" s="17">
        <v>0</v>
      </c>
      <c r="T21" s="18">
        <f t="shared" si="0"/>
        <v>0</v>
      </c>
    </row>
    <row r="22" spans="1:23" s="7" customFormat="1" ht="19.149999999999999" customHeight="1">
      <c r="B22" s="197" t="s">
        <v>63</v>
      </c>
      <c r="C22" s="197"/>
      <c r="D22" s="197"/>
      <c r="E22" s="197"/>
      <c r="F22" s="197"/>
      <c r="G22" s="197"/>
      <c r="H22" s="197"/>
      <c r="I22" s="197"/>
      <c r="J22" s="197"/>
      <c r="K22" s="197"/>
      <c r="L22" s="197"/>
      <c r="M22" s="197"/>
      <c r="N22" s="197"/>
      <c r="O22" s="197"/>
      <c r="Q22" s="108" t="s">
        <v>254</v>
      </c>
      <c r="R22" s="18">
        <v>18</v>
      </c>
      <c r="S22" s="17">
        <v>0</v>
      </c>
      <c r="T22" s="18">
        <f t="shared" ref="T22" si="21">R22*S22</f>
        <v>0</v>
      </c>
    </row>
    <row r="23" spans="1:23" s="7" customFormat="1" ht="19.149999999999999" customHeight="1">
      <c r="B23" s="207" t="s">
        <v>375</v>
      </c>
      <c r="C23" s="208"/>
      <c r="D23" s="208"/>
      <c r="E23" s="208"/>
      <c r="F23" s="208"/>
      <c r="G23" s="208"/>
      <c r="H23" s="208"/>
      <c r="I23" s="208"/>
      <c r="J23" s="208"/>
      <c r="K23" s="208"/>
      <c r="L23" s="208"/>
      <c r="M23" s="208"/>
      <c r="N23" s="208"/>
      <c r="O23" s="208"/>
      <c r="Q23" s="109" t="s">
        <v>255</v>
      </c>
      <c r="R23" s="18">
        <v>27</v>
      </c>
      <c r="S23" s="17">
        <v>0</v>
      </c>
      <c r="T23" s="18">
        <f t="shared" si="0"/>
        <v>0</v>
      </c>
    </row>
    <row r="24" spans="1:23" s="7" customFormat="1" ht="19.149999999999999" customHeight="1">
      <c r="B24" s="210" t="s">
        <v>66</v>
      </c>
      <c r="C24" s="210"/>
      <c r="D24" s="210"/>
      <c r="E24" s="210"/>
      <c r="F24" s="210"/>
      <c r="G24" s="210"/>
      <c r="H24" s="210"/>
      <c r="I24" s="210"/>
      <c r="J24" s="210"/>
      <c r="K24" s="210"/>
      <c r="L24" s="210"/>
      <c r="M24" s="210"/>
      <c r="N24" s="210"/>
      <c r="O24" s="210"/>
      <c r="Q24" s="109" t="s">
        <v>256</v>
      </c>
      <c r="R24" s="18">
        <v>32</v>
      </c>
      <c r="S24" s="17">
        <v>0</v>
      </c>
      <c r="T24" s="18">
        <f t="shared" ref="T24" si="22">R24*S24</f>
        <v>0</v>
      </c>
    </row>
    <row r="25" spans="1:23" s="7" customFormat="1" ht="19.149999999999999" customHeight="1">
      <c r="A25" s="25"/>
      <c r="B25" s="25"/>
      <c r="C25" s="25"/>
      <c r="D25" s="25"/>
      <c r="E25" s="25"/>
      <c r="F25" s="25"/>
      <c r="G25" s="25"/>
      <c r="H25" s="25"/>
      <c r="I25" s="25"/>
      <c r="J25" s="25"/>
      <c r="K25" s="25"/>
      <c r="L25" s="25"/>
      <c r="M25" s="25"/>
      <c r="N25" s="25"/>
      <c r="O25" s="25"/>
      <c r="Q25" s="109" t="s">
        <v>257</v>
      </c>
      <c r="R25" s="18">
        <v>37</v>
      </c>
      <c r="S25" s="17">
        <v>0</v>
      </c>
      <c r="T25" s="18">
        <f t="shared" ref="T25" si="23">R25*S25</f>
        <v>0</v>
      </c>
    </row>
    <row r="26" spans="1:23" s="7" customFormat="1" ht="19.149999999999999" customHeight="1">
      <c r="A26" s="25"/>
      <c r="B26" s="25"/>
      <c r="C26" s="25"/>
      <c r="D26" s="25"/>
      <c r="E26" s="25"/>
      <c r="F26" s="25"/>
      <c r="G26" s="25"/>
      <c r="H26" s="25"/>
      <c r="I26" s="25"/>
      <c r="J26" s="25"/>
      <c r="K26" s="25"/>
      <c r="L26" s="25"/>
      <c r="M26" s="25"/>
      <c r="N26" s="25"/>
      <c r="O26" s="25"/>
      <c r="Q26" s="108" t="s">
        <v>182</v>
      </c>
      <c r="R26" s="18">
        <v>18</v>
      </c>
      <c r="S26" s="17">
        <v>0</v>
      </c>
      <c r="T26" s="18">
        <f t="shared" si="0"/>
        <v>0</v>
      </c>
    </row>
    <row r="27" spans="1:23" s="7" customFormat="1" ht="19.149999999999999" customHeight="1">
      <c r="A27" s="25"/>
      <c r="B27" s="25"/>
      <c r="C27" s="25"/>
      <c r="D27" s="25"/>
      <c r="E27" s="25"/>
      <c r="F27" s="25"/>
      <c r="G27" s="25"/>
      <c r="H27" s="25"/>
      <c r="I27" s="25"/>
      <c r="J27" s="25"/>
      <c r="K27" s="25"/>
      <c r="L27" s="25"/>
      <c r="M27" s="25"/>
      <c r="N27" s="25"/>
      <c r="O27" s="25"/>
      <c r="Q27" s="110" t="s">
        <v>217</v>
      </c>
      <c r="R27" s="18">
        <v>35</v>
      </c>
      <c r="S27" s="17">
        <v>0</v>
      </c>
      <c r="T27" s="18">
        <f t="shared" si="0"/>
        <v>0</v>
      </c>
      <c r="W27" s="25"/>
    </row>
    <row r="28" spans="1:23" s="7" customFormat="1" ht="19.149999999999999" customHeight="1">
      <c r="A28" s="25"/>
      <c r="B28" s="25"/>
      <c r="C28" s="25"/>
      <c r="D28" s="25"/>
      <c r="E28" s="25"/>
      <c r="F28" s="25"/>
      <c r="G28" s="25"/>
      <c r="H28" s="25"/>
      <c r="I28" s="25"/>
      <c r="J28" s="25"/>
      <c r="K28" s="25"/>
      <c r="L28" s="25"/>
      <c r="M28" s="25"/>
      <c r="N28" s="25"/>
      <c r="O28" s="25"/>
      <c r="Q28" s="110" t="s">
        <v>218</v>
      </c>
      <c r="R28" s="18">
        <v>40</v>
      </c>
      <c r="S28" s="17">
        <v>0</v>
      </c>
      <c r="T28" s="18">
        <f t="shared" ref="T28" si="24">R28*S28</f>
        <v>0</v>
      </c>
      <c r="W28" s="25"/>
    </row>
    <row r="29" spans="1:23" ht="19.149999999999999" customHeight="1">
      <c r="P29" s="7"/>
      <c r="Q29" s="110" t="s">
        <v>64</v>
      </c>
      <c r="R29" s="18">
        <v>12</v>
      </c>
      <c r="S29" s="17">
        <v>0</v>
      </c>
      <c r="T29" s="18">
        <f>R29*S29</f>
        <v>0</v>
      </c>
      <c r="U29" s="7"/>
      <c r="V29" s="7"/>
    </row>
    <row r="30" spans="1:23" ht="19.149999999999999" customHeight="1">
      <c r="P30" s="7"/>
      <c r="Q30" s="110" t="s">
        <v>65</v>
      </c>
      <c r="R30" s="18">
        <v>25</v>
      </c>
      <c r="S30" s="17">
        <v>0</v>
      </c>
      <c r="T30" s="18">
        <f t="shared" ref="T30:T31" si="25">R30*S30</f>
        <v>0</v>
      </c>
      <c r="U30" s="7"/>
      <c r="V30" s="7"/>
    </row>
    <row r="31" spans="1:23" ht="19.149999999999999" customHeight="1">
      <c r="P31" s="7"/>
      <c r="Q31" s="110" t="s">
        <v>67</v>
      </c>
      <c r="R31" s="18">
        <v>15</v>
      </c>
      <c r="S31" s="17">
        <v>0</v>
      </c>
      <c r="T31" s="18">
        <f t="shared" si="25"/>
        <v>0</v>
      </c>
      <c r="U31" s="7"/>
      <c r="V31" s="7"/>
    </row>
    <row r="32" spans="1:23" ht="19.149999999999999" customHeight="1" thickBot="1">
      <c r="Q32" s="111" t="s">
        <v>68</v>
      </c>
      <c r="R32" s="22"/>
      <c r="S32" s="22"/>
      <c r="T32" s="22"/>
      <c r="V32" s="7"/>
    </row>
    <row r="33" spans="17:22" ht="19.149999999999999" customHeight="1" thickTop="1">
      <c r="Q33" s="23"/>
      <c r="R33" s="20" t="s">
        <v>69</v>
      </c>
      <c r="S33" s="206">
        <f>SUM(T10:T31)</f>
        <v>0</v>
      </c>
      <c r="T33" s="206"/>
      <c r="V33" s="7"/>
    </row>
    <row r="34" spans="17:22" ht="19.149999999999999" customHeight="1">
      <c r="Q34" s="7"/>
      <c r="R34" s="7"/>
      <c r="S34" s="7"/>
      <c r="T34" s="7"/>
      <c r="U34" s="7"/>
    </row>
    <row r="35" spans="17:22" ht="19.149999999999999" customHeight="1">
      <c r="Q35" s="7"/>
      <c r="R35" s="7"/>
      <c r="S35" s="7"/>
      <c r="T35" s="7"/>
      <c r="U35" s="7"/>
    </row>
    <row r="36" spans="17:22" ht="19.149999999999999" customHeight="1">
      <c r="Q36" s="7"/>
      <c r="R36" s="7"/>
      <c r="S36" s="7"/>
      <c r="T36" s="7"/>
      <c r="U36" s="7"/>
    </row>
    <row r="37" spans="17:22">
      <c r="Q37" s="7"/>
      <c r="R37" s="7"/>
      <c r="S37" s="7"/>
      <c r="T37" s="7"/>
      <c r="U37" s="7"/>
    </row>
    <row r="40" spans="17:22" ht="23.25">
      <c r="Q40" s="23"/>
      <c r="R40" s="20"/>
      <c r="S40" s="24"/>
      <c r="T40" s="24"/>
    </row>
    <row r="41" spans="17:22" ht="23.25">
      <c r="Q41" s="23"/>
      <c r="R41" s="20"/>
      <c r="S41" s="24"/>
      <c r="T41" s="24"/>
    </row>
    <row r="42" spans="17:22">
      <c r="Q42" s="7"/>
      <c r="R42" s="7"/>
      <c r="S42" s="7"/>
      <c r="T42" s="7"/>
    </row>
    <row r="43" spans="17:22">
      <c r="Q43" s="7"/>
      <c r="R43" s="7"/>
      <c r="S43" s="7"/>
      <c r="T43" s="7"/>
    </row>
  </sheetData>
  <sheetProtection algorithmName="SHA-512" hashValue="RtuuLuSB0PGW+0XsbiADPV+npxaEnUCjkOhdlZHevHIzOUPiWdReQFp46+JJTCSX2Z/JiLF32tToauSn0aVcjQ==" saltValue="pZCZ+GDWy+9EC3L9slX55A==" spinCount="100000" sheet="1" objects="1" scenarios="1"/>
  <mergeCells count="21">
    <mergeCell ref="S33:T33"/>
    <mergeCell ref="B23:O23"/>
    <mergeCell ref="E14:F14"/>
    <mergeCell ref="E15:F15"/>
    <mergeCell ref="E10:F10"/>
    <mergeCell ref="E11:F11"/>
    <mergeCell ref="E12:F12"/>
    <mergeCell ref="E13:F13"/>
    <mergeCell ref="B24:O24"/>
    <mergeCell ref="B22:O22"/>
    <mergeCell ref="C10:D10"/>
    <mergeCell ref="B2:O3"/>
    <mergeCell ref="B4:O6"/>
    <mergeCell ref="U4:U6"/>
    <mergeCell ref="E18:F18"/>
    <mergeCell ref="B19:O20"/>
    <mergeCell ref="E7:F7"/>
    <mergeCell ref="E8:F8"/>
    <mergeCell ref="G8:O8"/>
    <mergeCell ref="E16:F16"/>
    <mergeCell ref="E17:F17"/>
  </mergeCells>
  <hyperlinks>
    <hyperlink ref="B24:O24" r:id="rId1" display="learn more" xr:uid="{0D359BB4-7F82-4F39-B6EA-23300187D1EE}"/>
    <hyperlink ref="C10:D10" location="'Little QT'!A1" display="See tab for &quot;Little QT&quot;" xr:uid="{3F232F58-A672-417F-8920-E796967E6496}"/>
    <hyperlink ref="B23:O23" location="'Album Copies'!A1" display="Flat Rate Album Copies also available - see pricing." xr:uid="{2B40ABAE-CF3C-42B1-98E4-18646D16A247}"/>
  </hyperlinks>
  <printOptions horizontalCentered="1"/>
  <pageMargins left="0.25" right="0.25" top="0.75" bottom="0.75" header="0.3" footer="0.3"/>
  <pageSetup paperSize="9" scale="62" orientation="landscape"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2A7C4-F9FA-45E0-8D2F-AD8484CBB1C9}">
  <sheetPr codeName="Sheet3">
    <pageSetUpPr fitToPage="1"/>
  </sheetPr>
  <dimension ref="A2:S49"/>
  <sheetViews>
    <sheetView showGridLines="0" workbookViewId="0"/>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11" width="10.265625" style="25" customWidth="1"/>
    <col min="12" max="12" width="14.59765625" style="25" bestFit="1" customWidth="1"/>
    <col min="13" max="13" width="3.86328125" style="25" customWidth="1"/>
    <col min="14" max="14" width="31.265625" style="25" bestFit="1" customWidth="1"/>
    <col min="15" max="15" width="8.59765625" style="25" bestFit="1" customWidth="1"/>
    <col min="16" max="16" width="10.265625" style="25" customWidth="1"/>
    <col min="17" max="16384" width="9.265625" style="25"/>
  </cols>
  <sheetData>
    <row r="2" spans="1:19" s="7" customFormat="1" ht="19.149999999999999" customHeight="1" thickBot="1">
      <c r="B2" s="196" t="s">
        <v>2</v>
      </c>
      <c r="C2" s="196"/>
      <c r="D2" s="196"/>
      <c r="E2" s="196"/>
      <c r="F2" s="196"/>
      <c r="G2" s="196"/>
      <c r="H2" s="196"/>
      <c r="I2" s="196"/>
      <c r="J2" s="196"/>
      <c r="K2" s="196"/>
      <c r="L2" s="196"/>
      <c r="N2" s="113" t="s">
        <v>22</v>
      </c>
      <c r="O2" s="32"/>
      <c r="P2" s="11"/>
      <c r="Q2" s="11"/>
    </row>
    <row r="3" spans="1:19" s="7" customFormat="1" ht="19.149999999999999" customHeight="1">
      <c r="B3" s="196"/>
      <c r="C3" s="196"/>
      <c r="D3" s="196"/>
      <c r="E3" s="196"/>
      <c r="F3" s="196"/>
      <c r="G3" s="196"/>
      <c r="H3" s="196"/>
      <c r="I3" s="196"/>
      <c r="J3" s="196"/>
      <c r="K3" s="196"/>
      <c r="L3" s="196"/>
      <c r="N3" s="35" t="s">
        <v>70</v>
      </c>
      <c r="O3" s="35"/>
      <c r="P3" s="12">
        <v>10</v>
      </c>
      <c r="Q3" s="7" t="s">
        <v>23</v>
      </c>
      <c r="R3" s="13" t="s">
        <v>24</v>
      </c>
    </row>
    <row r="4" spans="1:19" s="7" customFormat="1" ht="19.149999999999999" customHeight="1">
      <c r="B4" s="197" t="s">
        <v>315</v>
      </c>
      <c r="C4" s="197"/>
      <c r="D4" s="197"/>
      <c r="E4" s="197"/>
      <c r="F4" s="197"/>
      <c r="G4" s="197"/>
      <c r="H4" s="197"/>
      <c r="I4" s="197"/>
      <c r="J4" s="197"/>
      <c r="K4" s="197"/>
      <c r="L4" s="197"/>
      <c r="N4" s="112" t="s">
        <v>26</v>
      </c>
      <c r="O4" s="112"/>
      <c r="P4" s="27">
        <v>1</v>
      </c>
      <c r="Q4" s="16" t="s">
        <v>27</v>
      </c>
      <c r="R4" s="198" t="s">
        <v>28</v>
      </c>
      <c r="S4" s="26"/>
    </row>
    <row r="5" spans="1:19" s="7" customFormat="1" ht="19.149999999999999" customHeight="1">
      <c r="B5" s="197"/>
      <c r="C5" s="197"/>
      <c r="D5" s="197"/>
      <c r="E5" s="197"/>
      <c r="F5" s="197"/>
      <c r="G5" s="197"/>
      <c r="H5" s="197"/>
      <c r="I5" s="197"/>
      <c r="J5" s="197"/>
      <c r="K5" s="197"/>
      <c r="L5" s="197"/>
      <c r="N5" s="35" t="s">
        <v>29</v>
      </c>
      <c r="O5" s="35"/>
      <c r="P5" s="27">
        <v>1</v>
      </c>
      <c r="Q5" s="16" t="s">
        <v>27</v>
      </c>
      <c r="R5" s="198"/>
    </row>
    <row r="6" spans="1:19" s="7" customFormat="1" ht="19.149999999999999" customHeight="1">
      <c r="B6" s="197"/>
      <c r="C6" s="197"/>
      <c r="D6" s="197"/>
      <c r="E6" s="197"/>
      <c r="F6" s="197"/>
      <c r="G6" s="197"/>
      <c r="H6" s="197"/>
      <c r="I6" s="197"/>
      <c r="J6" s="197"/>
      <c r="K6" s="197"/>
      <c r="L6" s="197"/>
      <c r="N6" s="35" t="s">
        <v>30</v>
      </c>
      <c r="O6" s="35"/>
      <c r="P6" s="27">
        <v>1</v>
      </c>
      <c r="Q6" s="16" t="s">
        <v>27</v>
      </c>
      <c r="R6" s="198"/>
    </row>
    <row r="7" spans="1:19" s="9" customFormat="1" ht="34.9" customHeight="1">
      <c r="B7" s="8"/>
      <c r="C7" s="8"/>
      <c r="D7" s="8"/>
      <c r="E7" s="202" t="s">
        <v>31</v>
      </c>
      <c r="F7" s="202"/>
      <c r="G7" s="8"/>
      <c r="H7" s="8"/>
      <c r="I7" s="8"/>
      <c r="J7" s="8"/>
      <c r="K7" s="8"/>
      <c r="L7" s="8"/>
    </row>
    <row r="8" spans="1:19" s="7" customFormat="1" ht="19.350000000000001" customHeight="1">
      <c r="B8" s="212" t="s">
        <v>313</v>
      </c>
      <c r="C8" s="212"/>
      <c r="D8" s="212"/>
      <c r="E8" s="203" t="s">
        <v>32</v>
      </c>
      <c r="F8" s="203"/>
      <c r="G8" s="204" t="s">
        <v>33</v>
      </c>
      <c r="H8" s="204"/>
      <c r="I8" s="204"/>
      <c r="J8" s="204"/>
      <c r="K8" s="204"/>
      <c r="L8" s="204"/>
    </row>
    <row r="9" spans="1:19" s="7" customFormat="1" ht="21.75" customHeight="1" thickBot="1">
      <c r="B9" s="55" t="s">
        <v>34</v>
      </c>
      <c r="C9" s="55" t="s">
        <v>35</v>
      </c>
      <c r="D9" s="55" t="s">
        <v>36</v>
      </c>
      <c r="E9" s="56">
        <f>P3</f>
        <v>10</v>
      </c>
      <c r="F9" s="57" t="s">
        <v>37</v>
      </c>
      <c r="G9" s="55" t="s">
        <v>38</v>
      </c>
      <c r="H9" s="55" t="s">
        <v>39</v>
      </c>
      <c r="I9" s="55" t="s">
        <v>40</v>
      </c>
      <c r="J9" s="55" t="s">
        <v>41</v>
      </c>
      <c r="K9" s="55" t="s">
        <v>42</v>
      </c>
      <c r="L9" s="55" t="s">
        <v>71</v>
      </c>
      <c r="N9" s="113" t="s">
        <v>47</v>
      </c>
      <c r="O9" s="32"/>
      <c r="P9" s="106" t="s">
        <v>48</v>
      </c>
      <c r="Q9" s="107" t="s">
        <v>49</v>
      </c>
    </row>
    <row r="10" spans="1:19" s="7" customFormat="1" ht="19.350000000000001" customHeight="1">
      <c r="B10" s="138" t="s">
        <v>344</v>
      </c>
      <c r="C10" s="211" t="s">
        <v>343</v>
      </c>
      <c r="D10" s="211"/>
      <c r="E10" s="209"/>
      <c r="F10" s="209"/>
      <c r="G10" s="139"/>
      <c r="H10" s="139"/>
      <c r="I10" s="139"/>
      <c r="J10" s="139"/>
      <c r="K10" s="139"/>
      <c r="L10" s="139"/>
      <c r="N10" s="108" t="s">
        <v>51</v>
      </c>
      <c r="O10" s="18">
        <v>13</v>
      </c>
      <c r="P10" s="17">
        <v>0</v>
      </c>
      <c r="Q10" s="18">
        <f t="shared" ref="Q10:Q28" si="0">O10*P10</f>
        <v>0</v>
      </c>
    </row>
    <row r="11" spans="1:19" s="26" customFormat="1" ht="19.149999999999999" customHeight="1">
      <c r="A11" s="7"/>
      <c r="B11" s="61" t="s">
        <v>52</v>
      </c>
      <c r="C11" s="62">
        <f>125*$P$4</f>
        <v>125</v>
      </c>
      <c r="D11" s="62">
        <f>9*$P$5</f>
        <v>9</v>
      </c>
      <c r="E11" s="205">
        <f t="shared" ref="E11:E18" si="1">C11+(($P$3-10)*D11)+($P$33*$P$6)</f>
        <v>125</v>
      </c>
      <c r="F11" s="205"/>
      <c r="G11" s="62">
        <f t="shared" ref="G11:G18" si="2">C11+((15-10)*D11)+($P$33*$P$6)</f>
        <v>170</v>
      </c>
      <c r="H11" s="62">
        <f t="shared" ref="H11:H18" si="3">C11+((20-10)*D11)+($P$33*$P$6)</f>
        <v>215</v>
      </c>
      <c r="I11" s="62">
        <f t="shared" ref="I11:I18" si="4">C11+((25-10)*D11)+($P$33*$P$6)</f>
        <v>260</v>
      </c>
      <c r="J11" s="62">
        <f t="shared" ref="J11:J18" si="5">C11+((30-10)*D11)+($P$33*$P$6)</f>
        <v>305</v>
      </c>
      <c r="K11" s="62">
        <f t="shared" ref="K11:K18" si="6">C11+((35-10)*D11)+($P$33*$P$6)</f>
        <v>350</v>
      </c>
      <c r="L11" s="62">
        <f t="shared" ref="L11:L18" si="7">C11+((40-10)*D11)+($P$33*$P$6)</f>
        <v>395</v>
      </c>
      <c r="N11" s="108" t="s">
        <v>53</v>
      </c>
      <c r="O11" s="18">
        <v>45</v>
      </c>
      <c r="P11" s="17">
        <v>0</v>
      </c>
      <c r="Q11" s="18">
        <f t="shared" si="0"/>
        <v>0</v>
      </c>
      <c r="R11" s="7"/>
      <c r="S11" s="7"/>
    </row>
    <row r="12" spans="1:19" s="7" customFormat="1" ht="19.149999999999999" customHeight="1">
      <c r="A12" s="26"/>
      <c r="B12" s="61" t="s">
        <v>54</v>
      </c>
      <c r="C12" s="62">
        <f>160*$P$4</f>
        <v>160</v>
      </c>
      <c r="D12" s="62">
        <f>10*$P$5</f>
        <v>10</v>
      </c>
      <c r="E12" s="205">
        <f t="shared" si="1"/>
        <v>160</v>
      </c>
      <c r="F12" s="205"/>
      <c r="G12" s="62">
        <f t="shared" si="2"/>
        <v>210</v>
      </c>
      <c r="H12" s="62">
        <f t="shared" si="3"/>
        <v>260</v>
      </c>
      <c r="I12" s="62">
        <f t="shared" si="4"/>
        <v>310</v>
      </c>
      <c r="J12" s="62">
        <f t="shared" si="5"/>
        <v>360</v>
      </c>
      <c r="K12" s="62">
        <f t="shared" si="6"/>
        <v>410</v>
      </c>
      <c r="L12" s="62">
        <f t="shared" si="7"/>
        <v>460</v>
      </c>
      <c r="N12" s="109" t="s">
        <v>55</v>
      </c>
      <c r="O12" s="18">
        <v>85</v>
      </c>
      <c r="P12" s="17">
        <v>0</v>
      </c>
      <c r="Q12" s="18">
        <f t="shared" si="0"/>
        <v>0</v>
      </c>
    </row>
    <row r="13" spans="1:19" s="7" customFormat="1" ht="19.149999999999999" customHeight="1">
      <c r="B13" s="71" t="s">
        <v>56</v>
      </c>
      <c r="C13" s="62">
        <f>210*$P$4</f>
        <v>210</v>
      </c>
      <c r="D13" s="62">
        <f>10*$P$5</f>
        <v>10</v>
      </c>
      <c r="E13" s="205">
        <f t="shared" si="1"/>
        <v>210</v>
      </c>
      <c r="F13" s="205"/>
      <c r="G13" s="62">
        <f t="shared" si="2"/>
        <v>260</v>
      </c>
      <c r="H13" s="62">
        <f t="shared" si="3"/>
        <v>310</v>
      </c>
      <c r="I13" s="62">
        <f t="shared" si="4"/>
        <v>360</v>
      </c>
      <c r="J13" s="62">
        <f t="shared" si="5"/>
        <v>410</v>
      </c>
      <c r="K13" s="62">
        <f t="shared" si="6"/>
        <v>460</v>
      </c>
      <c r="L13" s="62">
        <f t="shared" si="7"/>
        <v>510</v>
      </c>
      <c r="N13" s="109" t="s">
        <v>180</v>
      </c>
      <c r="O13" s="18">
        <v>95</v>
      </c>
      <c r="P13" s="17">
        <v>0</v>
      </c>
      <c r="Q13" s="18">
        <f t="shared" si="0"/>
        <v>0</v>
      </c>
    </row>
    <row r="14" spans="1:19" s="7" customFormat="1" ht="19.149999999999999" customHeight="1">
      <c r="B14" s="61" t="s">
        <v>58</v>
      </c>
      <c r="C14" s="62">
        <f>225*$P$4</f>
        <v>225</v>
      </c>
      <c r="D14" s="62">
        <f>12*$P$5</f>
        <v>12</v>
      </c>
      <c r="E14" s="205">
        <f t="shared" si="1"/>
        <v>225</v>
      </c>
      <c r="F14" s="205"/>
      <c r="G14" s="62">
        <f t="shared" si="2"/>
        <v>285</v>
      </c>
      <c r="H14" s="62">
        <f t="shared" si="3"/>
        <v>345</v>
      </c>
      <c r="I14" s="62">
        <f t="shared" si="4"/>
        <v>405</v>
      </c>
      <c r="J14" s="62">
        <f t="shared" si="5"/>
        <v>465</v>
      </c>
      <c r="K14" s="62">
        <f t="shared" si="6"/>
        <v>525</v>
      </c>
      <c r="L14" s="62">
        <f t="shared" si="7"/>
        <v>585</v>
      </c>
      <c r="N14" s="108" t="s">
        <v>57</v>
      </c>
      <c r="O14" s="18">
        <v>55</v>
      </c>
      <c r="P14" s="17">
        <v>0</v>
      </c>
      <c r="Q14" s="18">
        <f t="shared" si="0"/>
        <v>0</v>
      </c>
    </row>
    <row r="15" spans="1:19" s="7" customFormat="1" ht="19.149999999999999" customHeight="1">
      <c r="B15" s="71" t="s">
        <v>60</v>
      </c>
      <c r="C15" s="62">
        <f>300*$P$4</f>
        <v>300</v>
      </c>
      <c r="D15" s="62">
        <f>13.5*$P$5</f>
        <v>13.5</v>
      </c>
      <c r="E15" s="205">
        <f t="shared" si="1"/>
        <v>300</v>
      </c>
      <c r="F15" s="205"/>
      <c r="G15" s="62">
        <f t="shared" si="2"/>
        <v>367.5</v>
      </c>
      <c r="H15" s="62">
        <f t="shared" si="3"/>
        <v>435</v>
      </c>
      <c r="I15" s="62">
        <f t="shared" si="4"/>
        <v>502.5</v>
      </c>
      <c r="J15" s="62">
        <f t="shared" si="5"/>
        <v>570</v>
      </c>
      <c r="K15" s="62">
        <f t="shared" si="6"/>
        <v>637.5</v>
      </c>
      <c r="L15" s="62">
        <f t="shared" si="7"/>
        <v>705</v>
      </c>
      <c r="N15" s="108" t="s">
        <v>181</v>
      </c>
      <c r="O15" s="18">
        <v>18</v>
      </c>
      <c r="P15" s="17">
        <v>0</v>
      </c>
      <c r="Q15" s="18">
        <f t="shared" si="0"/>
        <v>0</v>
      </c>
    </row>
    <row r="16" spans="1:19" s="7" customFormat="1" ht="19.149999999999999" customHeight="1">
      <c r="B16" s="71" t="s">
        <v>411</v>
      </c>
      <c r="C16" s="62">
        <f>325*$P$4</f>
        <v>325</v>
      </c>
      <c r="D16" s="62">
        <f>14.5*$P$5</f>
        <v>14.5</v>
      </c>
      <c r="E16" s="205">
        <f t="shared" ref="E16:E17" si="8">C16+(($P$3-10)*D16)+($P$33*$P$6)</f>
        <v>325</v>
      </c>
      <c r="F16" s="205"/>
      <c r="G16" s="62">
        <f t="shared" ref="G16:G17" si="9">C16+((15-10)*D16)+($P$33*$P$6)</f>
        <v>397.5</v>
      </c>
      <c r="H16" s="62">
        <f t="shared" ref="H16:H17" si="10">C16+((20-10)*D16)+($P$33*$P$6)</f>
        <v>470</v>
      </c>
      <c r="I16" s="62">
        <f t="shared" ref="I16:I17" si="11">C16+((25-10)*D16)+($P$33*$P$6)</f>
        <v>542.5</v>
      </c>
      <c r="J16" s="62">
        <f t="shared" ref="J16:J17" si="12">C16+((30-10)*D16)+($P$33*$P$6)</f>
        <v>615</v>
      </c>
      <c r="K16" s="62">
        <f t="shared" ref="K16:K17" si="13">C16+((35-10)*D16)+($P$33*$P$6)</f>
        <v>687.5</v>
      </c>
      <c r="L16" s="62">
        <f t="shared" ref="L16:L17" si="14">C16+((40-10)*D16)+($P$33*$P$6)</f>
        <v>760</v>
      </c>
      <c r="N16" s="110" t="s">
        <v>59</v>
      </c>
      <c r="O16" s="18">
        <v>45</v>
      </c>
      <c r="P16" s="17">
        <v>0</v>
      </c>
      <c r="Q16" s="18">
        <f t="shared" si="0"/>
        <v>0</v>
      </c>
    </row>
    <row r="17" spans="1:17" s="7" customFormat="1" ht="19.149999999999999" customHeight="1">
      <c r="B17" s="71" t="s">
        <v>412</v>
      </c>
      <c r="C17" s="62">
        <f>345*$P$4</f>
        <v>345</v>
      </c>
      <c r="D17" s="62">
        <f>17*$P$5</f>
        <v>17</v>
      </c>
      <c r="E17" s="205">
        <f t="shared" si="8"/>
        <v>345</v>
      </c>
      <c r="F17" s="205"/>
      <c r="G17" s="62">
        <f t="shared" si="9"/>
        <v>430</v>
      </c>
      <c r="H17" s="62">
        <f t="shared" si="10"/>
        <v>515</v>
      </c>
      <c r="I17" s="62">
        <f t="shared" si="11"/>
        <v>600</v>
      </c>
      <c r="J17" s="62">
        <f t="shared" si="12"/>
        <v>685</v>
      </c>
      <c r="K17" s="62">
        <f t="shared" si="13"/>
        <v>770</v>
      </c>
      <c r="L17" s="62">
        <f t="shared" si="14"/>
        <v>855</v>
      </c>
      <c r="N17" s="110" t="s">
        <v>253</v>
      </c>
      <c r="O17" s="18">
        <v>25</v>
      </c>
      <c r="P17" s="17">
        <v>0</v>
      </c>
      <c r="Q17" s="18">
        <f t="shared" si="0"/>
        <v>0</v>
      </c>
    </row>
    <row r="18" spans="1:17" s="7" customFormat="1" ht="19.149999999999999" customHeight="1" thickBot="1">
      <c r="B18" s="76" t="s">
        <v>61</v>
      </c>
      <c r="C18" s="75">
        <f>445*$P$4</f>
        <v>445</v>
      </c>
      <c r="D18" s="75">
        <f>19*$P$5</f>
        <v>19</v>
      </c>
      <c r="E18" s="199">
        <f t="shared" si="1"/>
        <v>445</v>
      </c>
      <c r="F18" s="199"/>
      <c r="G18" s="69">
        <f t="shared" si="2"/>
        <v>540</v>
      </c>
      <c r="H18" s="69">
        <f t="shared" si="3"/>
        <v>635</v>
      </c>
      <c r="I18" s="69">
        <f t="shared" si="4"/>
        <v>730</v>
      </c>
      <c r="J18" s="69">
        <f t="shared" si="5"/>
        <v>825</v>
      </c>
      <c r="K18" s="69">
        <f t="shared" si="6"/>
        <v>920</v>
      </c>
      <c r="L18" s="69">
        <f t="shared" si="7"/>
        <v>1015</v>
      </c>
      <c r="N18" s="110" t="s">
        <v>184</v>
      </c>
      <c r="O18" s="18">
        <v>30</v>
      </c>
      <c r="P18" s="17">
        <v>0</v>
      </c>
      <c r="Q18" s="18">
        <f>O18*P18</f>
        <v>0</v>
      </c>
    </row>
    <row r="19" spans="1:17" s="7" customFormat="1" ht="19.149999999999999" customHeight="1">
      <c r="B19" s="201" t="s">
        <v>316</v>
      </c>
      <c r="C19" s="201"/>
      <c r="D19" s="201"/>
      <c r="E19" s="201"/>
      <c r="F19" s="201"/>
      <c r="G19" s="201"/>
      <c r="H19" s="201"/>
      <c r="I19" s="201"/>
      <c r="J19" s="201"/>
      <c r="K19" s="201"/>
      <c r="L19" s="201"/>
      <c r="N19" s="110" t="s">
        <v>383</v>
      </c>
      <c r="O19" s="18">
        <v>25</v>
      </c>
      <c r="P19" s="17">
        <v>0</v>
      </c>
      <c r="Q19" s="18">
        <f>O19*P19</f>
        <v>0</v>
      </c>
    </row>
    <row r="20" spans="1:17" s="7" customFormat="1" ht="19.149999999999999" customHeight="1">
      <c r="B20" s="201"/>
      <c r="C20" s="201"/>
      <c r="D20" s="201"/>
      <c r="E20" s="201"/>
      <c r="F20" s="201"/>
      <c r="G20" s="201"/>
      <c r="H20" s="201"/>
      <c r="I20" s="201"/>
      <c r="J20" s="201"/>
      <c r="K20" s="201"/>
      <c r="L20" s="201"/>
      <c r="N20" s="110" t="s">
        <v>183</v>
      </c>
      <c r="O20" s="18">
        <v>25</v>
      </c>
      <c r="P20" s="17">
        <v>0</v>
      </c>
      <c r="Q20" s="18">
        <f>O20*P20</f>
        <v>0</v>
      </c>
    </row>
    <row r="21" spans="1:17" s="7" customFormat="1" ht="19.149999999999999" customHeight="1">
      <c r="N21" s="108" t="s">
        <v>62</v>
      </c>
      <c r="O21" s="18">
        <v>18</v>
      </c>
      <c r="P21" s="17">
        <v>0</v>
      </c>
      <c r="Q21" s="18">
        <f t="shared" si="0"/>
        <v>0</v>
      </c>
    </row>
    <row r="22" spans="1:17" s="7" customFormat="1" ht="19.149999999999999" customHeight="1">
      <c r="B22" s="197" t="s">
        <v>63</v>
      </c>
      <c r="C22" s="197"/>
      <c r="D22" s="197"/>
      <c r="E22" s="197"/>
      <c r="F22" s="197"/>
      <c r="G22" s="197"/>
      <c r="H22" s="197"/>
      <c r="I22" s="197"/>
      <c r="J22" s="197"/>
      <c r="K22" s="197"/>
      <c r="L22" s="197"/>
      <c r="N22" s="108" t="s">
        <v>254</v>
      </c>
      <c r="O22" s="18">
        <v>18</v>
      </c>
      <c r="P22" s="17">
        <v>0</v>
      </c>
      <c r="Q22" s="18">
        <f t="shared" si="0"/>
        <v>0</v>
      </c>
    </row>
    <row r="23" spans="1:17" s="7" customFormat="1" ht="19.149999999999999" customHeight="1">
      <c r="B23" s="207" t="s">
        <v>375</v>
      </c>
      <c r="C23" s="208"/>
      <c r="D23" s="208"/>
      <c r="E23" s="208"/>
      <c r="F23" s="208"/>
      <c r="G23" s="208"/>
      <c r="H23" s="208"/>
      <c r="I23" s="208"/>
      <c r="J23" s="208"/>
      <c r="K23" s="208"/>
      <c r="L23" s="208"/>
      <c r="N23" s="109" t="s">
        <v>255</v>
      </c>
      <c r="O23" s="18">
        <v>27</v>
      </c>
      <c r="P23" s="17">
        <v>0</v>
      </c>
      <c r="Q23" s="18">
        <f t="shared" si="0"/>
        <v>0</v>
      </c>
    </row>
    <row r="24" spans="1:17" s="7" customFormat="1" ht="19.149999999999999" customHeight="1">
      <c r="B24" s="210" t="s">
        <v>66</v>
      </c>
      <c r="C24" s="210"/>
      <c r="D24" s="210"/>
      <c r="E24" s="210"/>
      <c r="F24" s="210"/>
      <c r="G24" s="210"/>
      <c r="H24" s="210"/>
      <c r="I24" s="210"/>
      <c r="J24" s="210"/>
      <c r="K24" s="210"/>
      <c r="L24" s="210"/>
      <c r="N24" s="109" t="s">
        <v>256</v>
      </c>
      <c r="O24" s="18">
        <v>32</v>
      </c>
      <c r="P24" s="17">
        <v>0</v>
      </c>
      <c r="Q24" s="18">
        <f t="shared" si="0"/>
        <v>0</v>
      </c>
    </row>
    <row r="25" spans="1:17" s="7" customFormat="1" ht="19.149999999999999" customHeight="1">
      <c r="B25" s="25"/>
      <c r="C25" s="25"/>
      <c r="D25" s="25"/>
      <c r="E25" s="25"/>
      <c r="F25" s="25"/>
      <c r="G25" s="25"/>
      <c r="N25" s="109" t="s">
        <v>257</v>
      </c>
      <c r="O25" s="18">
        <v>37</v>
      </c>
      <c r="P25" s="17">
        <v>0</v>
      </c>
      <c r="Q25" s="18">
        <f t="shared" si="0"/>
        <v>0</v>
      </c>
    </row>
    <row r="26" spans="1:17" s="7" customFormat="1" ht="19.149999999999999" customHeight="1">
      <c r="B26" s="212" t="s">
        <v>314</v>
      </c>
      <c r="C26" s="212"/>
      <c r="D26" s="212"/>
      <c r="E26" s="203" t="s">
        <v>32</v>
      </c>
      <c r="F26" s="203"/>
      <c r="G26" s="204" t="s">
        <v>33</v>
      </c>
      <c r="H26" s="204"/>
      <c r="I26" s="204"/>
      <c r="J26" s="204"/>
      <c r="K26" s="204"/>
      <c r="L26" s="204"/>
      <c r="N26" s="108" t="s">
        <v>182</v>
      </c>
      <c r="O26" s="18">
        <v>18</v>
      </c>
      <c r="P26" s="17">
        <v>0</v>
      </c>
      <c r="Q26" s="18">
        <f t="shared" si="0"/>
        <v>0</v>
      </c>
    </row>
    <row r="27" spans="1:17" s="7" customFormat="1" ht="19.149999999999999" customHeight="1" thickBot="1">
      <c r="B27" s="55" t="s">
        <v>34</v>
      </c>
      <c r="C27" s="55" t="s">
        <v>35</v>
      </c>
      <c r="D27" s="55" t="s">
        <v>36</v>
      </c>
      <c r="E27" s="56">
        <f>$P$3</f>
        <v>10</v>
      </c>
      <c r="F27" s="57" t="s">
        <v>37</v>
      </c>
      <c r="G27" s="55" t="s">
        <v>38</v>
      </c>
      <c r="H27" s="55" t="s">
        <v>39</v>
      </c>
      <c r="I27" s="55" t="s">
        <v>40</v>
      </c>
      <c r="J27" s="55" t="s">
        <v>41</v>
      </c>
      <c r="K27" s="55" t="s">
        <v>42</v>
      </c>
      <c r="L27" s="55" t="s">
        <v>71</v>
      </c>
      <c r="N27" s="110" t="s">
        <v>217</v>
      </c>
      <c r="O27" s="18">
        <v>35</v>
      </c>
      <c r="P27" s="17">
        <v>0</v>
      </c>
      <c r="Q27" s="18">
        <f t="shared" si="0"/>
        <v>0</v>
      </c>
    </row>
    <row r="28" spans="1:17" s="7" customFormat="1" ht="19.149999999999999" customHeight="1">
      <c r="B28" s="138" t="s">
        <v>344</v>
      </c>
      <c r="C28" s="211" t="s">
        <v>343</v>
      </c>
      <c r="D28" s="211"/>
      <c r="E28" s="209"/>
      <c r="F28" s="209"/>
      <c r="G28" s="139"/>
      <c r="H28" s="139"/>
      <c r="I28" s="139"/>
      <c r="J28" s="139"/>
      <c r="K28" s="139"/>
      <c r="L28" s="139"/>
      <c r="N28" s="110" t="s">
        <v>218</v>
      </c>
      <c r="O28" s="18">
        <v>40</v>
      </c>
      <c r="P28" s="17">
        <v>0</v>
      </c>
      <c r="Q28" s="18">
        <f t="shared" si="0"/>
        <v>0</v>
      </c>
    </row>
    <row r="29" spans="1:17" s="7" customFormat="1" ht="19.149999999999999" customHeight="1">
      <c r="A29" s="26"/>
      <c r="B29" s="61" t="s">
        <v>52</v>
      </c>
      <c r="C29" s="62">
        <f>150*$P$4</f>
        <v>150</v>
      </c>
      <c r="D29" s="62">
        <f>11.5*$P$5</f>
        <v>11.5</v>
      </c>
      <c r="E29" s="205">
        <f t="shared" ref="E29:E36" si="15">$C29+(($P$3-10)*$D29)+($P$33*$P$6)</f>
        <v>150</v>
      </c>
      <c r="F29" s="205"/>
      <c r="G29" s="62">
        <f t="shared" ref="G29:G36" si="16">$C29+((15-10)*$D29)+($P$33*$P$6)</f>
        <v>207.5</v>
      </c>
      <c r="H29" s="62">
        <f t="shared" ref="H29:H36" si="17">$C29+((20-10)*$D29)+($P$33*$P$6)</f>
        <v>265</v>
      </c>
      <c r="I29" s="62">
        <f t="shared" ref="I29:I36" si="18">$C29+((25-10)*$D29)+($P$33*$P$6)</f>
        <v>322.5</v>
      </c>
      <c r="J29" s="62">
        <f t="shared" ref="J29:J36" si="19">$C29+((30-10)*$D29)+($P$33*$P$6)</f>
        <v>380</v>
      </c>
      <c r="K29" s="62">
        <f t="shared" ref="K29:K36" si="20">$C29+((35-10)*$D29)+($P$33*$P$6)</f>
        <v>437.5</v>
      </c>
      <c r="L29" s="62">
        <f t="shared" ref="L29:L36" si="21">$C29+((40-10)*$D29)+($P$33*$P$6)</f>
        <v>495</v>
      </c>
      <c r="M29" s="26"/>
      <c r="N29" s="110" t="s">
        <v>64</v>
      </c>
      <c r="O29" s="18">
        <v>12</v>
      </c>
      <c r="P29" s="17">
        <v>0</v>
      </c>
      <c r="Q29" s="18">
        <f>O29*P29</f>
        <v>0</v>
      </c>
    </row>
    <row r="30" spans="1:17" s="7" customFormat="1" ht="19.149999999999999" customHeight="1">
      <c r="B30" s="61" t="s">
        <v>54</v>
      </c>
      <c r="C30" s="62">
        <f>190*$P$4</f>
        <v>190</v>
      </c>
      <c r="D30" s="62">
        <f>13*$P$5</f>
        <v>13</v>
      </c>
      <c r="E30" s="205">
        <f t="shared" si="15"/>
        <v>190</v>
      </c>
      <c r="F30" s="205"/>
      <c r="G30" s="62">
        <f t="shared" si="16"/>
        <v>255</v>
      </c>
      <c r="H30" s="62">
        <f t="shared" si="17"/>
        <v>320</v>
      </c>
      <c r="I30" s="62">
        <f t="shared" si="18"/>
        <v>385</v>
      </c>
      <c r="J30" s="62">
        <f t="shared" si="19"/>
        <v>450</v>
      </c>
      <c r="K30" s="62">
        <f t="shared" si="20"/>
        <v>515</v>
      </c>
      <c r="L30" s="62">
        <f t="shared" si="21"/>
        <v>580</v>
      </c>
      <c r="N30" s="110" t="s">
        <v>65</v>
      </c>
      <c r="O30" s="18">
        <v>25</v>
      </c>
      <c r="P30" s="17">
        <v>0</v>
      </c>
      <c r="Q30" s="18">
        <f t="shared" ref="Q30:Q31" si="22">O30*P30</f>
        <v>0</v>
      </c>
    </row>
    <row r="31" spans="1:17" s="7" customFormat="1" ht="19.149999999999999" customHeight="1">
      <c r="B31" s="71" t="s">
        <v>56</v>
      </c>
      <c r="C31" s="62">
        <f>235*$P$4</f>
        <v>235</v>
      </c>
      <c r="D31" s="62">
        <f>13*$P$5</f>
        <v>13</v>
      </c>
      <c r="E31" s="205">
        <f t="shared" si="15"/>
        <v>235</v>
      </c>
      <c r="F31" s="205"/>
      <c r="G31" s="62">
        <f t="shared" si="16"/>
        <v>300</v>
      </c>
      <c r="H31" s="62">
        <f t="shared" si="17"/>
        <v>365</v>
      </c>
      <c r="I31" s="62">
        <f t="shared" si="18"/>
        <v>430</v>
      </c>
      <c r="J31" s="62">
        <f t="shared" si="19"/>
        <v>495</v>
      </c>
      <c r="K31" s="62">
        <f t="shared" si="20"/>
        <v>560</v>
      </c>
      <c r="L31" s="62">
        <f t="shared" si="21"/>
        <v>625</v>
      </c>
      <c r="N31" s="110" t="s">
        <v>67</v>
      </c>
      <c r="O31" s="18">
        <v>15</v>
      </c>
      <c r="P31" s="17">
        <v>0</v>
      </c>
      <c r="Q31" s="18">
        <f t="shared" si="22"/>
        <v>0</v>
      </c>
    </row>
    <row r="32" spans="1:17" s="7" customFormat="1" ht="19.149999999999999" customHeight="1" thickBot="1">
      <c r="B32" s="61" t="s">
        <v>58</v>
      </c>
      <c r="C32" s="62">
        <f>265*$P$4</f>
        <v>265</v>
      </c>
      <c r="D32" s="62">
        <f>15*$P$5</f>
        <v>15</v>
      </c>
      <c r="E32" s="205">
        <f t="shared" si="15"/>
        <v>265</v>
      </c>
      <c r="F32" s="205"/>
      <c r="G32" s="62">
        <f t="shared" si="16"/>
        <v>340</v>
      </c>
      <c r="H32" s="62">
        <f t="shared" si="17"/>
        <v>415</v>
      </c>
      <c r="I32" s="62">
        <f t="shared" si="18"/>
        <v>490</v>
      </c>
      <c r="J32" s="62">
        <f t="shared" si="19"/>
        <v>565</v>
      </c>
      <c r="K32" s="62">
        <f t="shared" si="20"/>
        <v>640</v>
      </c>
      <c r="L32" s="62">
        <f t="shared" si="21"/>
        <v>715</v>
      </c>
      <c r="N32" s="111" t="s">
        <v>68</v>
      </c>
      <c r="O32" s="22"/>
      <c r="P32" s="22"/>
      <c r="Q32" s="22"/>
    </row>
    <row r="33" spans="1:19" s="7" customFormat="1" ht="19.149999999999999" customHeight="1" thickTop="1">
      <c r="A33" s="26"/>
      <c r="B33" s="71" t="s">
        <v>60</v>
      </c>
      <c r="C33" s="62">
        <f>350*$P$4</f>
        <v>350</v>
      </c>
      <c r="D33" s="62">
        <f>17.5*$P$5</f>
        <v>17.5</v>
      </c>
      <c r="E33" s="205">
        <f t="shared" si="15"/>
        <v>350</v>
      </c>
      <c r="F33" s="205"/>
      <c r="G33" s="62">
        <f t="shared" si="16"/>
        <v>437.5</v>
      </c>
      <c r="H33" s="62">
        <f t="shared" si="17"/>
        <v>525</v>
      </c>
      <c r="I33" s="62">
        <f t="shared" si="18"/>
        <v>612.5</v>
      </c>
      <c r="J33" s="62">
        <f t="shared" si="19"/>
        <v>700</v>
      </c>
      <c r="K33" s="62">
        <f t="shared" si="20"/>
        <v>787.5</v>
      </c>
      <c r="L33" s="62">
        <f t="shared" si="21"/>
        <v>875</v>
      </c>
      <c r="M33" s="26"/>
      <c r="N33" s="23"/>
      <c r="O33" s="20" t="s">
        <v>69</v>
      </c>
      <c r="P33" s="206">
        <f>SUM(Q10:Q32)</f>
        <v>0</v>
      </c>
      <c r="Q33" s="206"/>
    </row>
    <row r="34" spans="1:19" s="7" customFormat="1" ht="19.149999999999999" customHeight="1">
      <c r="A34" s="26"/>
      <c r="B34" s="71" t="s">
        <v>411</v>
      </c>
      <c r="C34" s="62">
        <f>375*$P$4</f>
        <v>375</v>
      </c>
      <c r="D34" s="62">
        <f>19.5*$P$5</f>
        <v>19.5</v>
      </c>
      <c r="E34" s="205">
        <f t="shared" si="15"/>
        <v>375</v>
      </c>
      <c r="F34" s="205"/>
      <c r="G34" s="62">
        <f t="shared" si="16"/>
        <v>472.5</v>
      </c>
      <c r="H34" s="62">
        <f t="shared" si="17"/>
        <v>570</v>
      </c>
      <c r="I34" s="62">
        <f t="shared" si="18"/>
        <v>667.5</v>
      </c>
      <c r="J34" s="62">
        <f t="shared" si="19"/>
        <v>765</v>
      </c>
      <c r="K34" s="62">
        <f t="shared" si="20"/>
        <v>862.5</v>
      </c>
      <c r="L34" s="62">
        <f t="shared" si="21"/>
        <v>960</v>
      </c>
      <c r="M34" s="26"/>
    </row>
    <row r="35" spans="1:19" ht="19.149999999999999" customHeight="1">
      <c r="A35" s="26"/>
      <c r="B35" s="71" t="s">
        <v>412</v>
      </c>
      <c r="C35" s="62">
        <f>405*$P$4</f>
        <v>405</v>
      </c>
      <c r="D35" s="62">
        <f>23*$P$5</f>
        <v>23</v>
      </c>
      <c r="E35" s="205">
        <f t="shared" si="15"/>
        <v>405</v>
      </c>
      <c r="F35" s="205"/>
      <c r="G35" s="62">
        <f t="shared" si="16"/>
        <v>520</v>
      </c>
      <c r="H35" s="62">
        <f t="shared" si="17"/>
        <v>635</v>
      </c>
      <c r="I35" s="62">
        <f t="shared" si="18"/>
        <v>750</v>
      </c>
      <c r="J35" s="62">
        <f t="shared" si="19"/>
        <v>865</v>
      </c>
      <c r="K35" s="62">
        <f t="shared" si="20"/>
        <v>980</v>
      </c>
      <c r="L35" s="62">
        <f t="shared" si="21"/>
        <v>1095</v>
      </c>
      <c r="M35" s="26"/>
      <c r="N35" s="7"/>
      <c r="O35" s="7"/>
      <c r="P35" s="7"/>
      <c r="Q35" s="7"/>
      <c r="R35" s="7"/>
      <c r="S35" s="7"/>
    </row>
    <row r="36" spans="1:19" ht="19.149999999999999" customHeight="1" thickBot="1">
      <c r="A36" s="7"/>
      <c r="B36" s="76" t="s">
        <v>61</v>
      </c>
      <c r="C36" s="75">
        <f>505*$P$4</f>
        <v>505</v>
      </c>
      <c r="D36" s="75">
        <f>25*$P$5</f>
        <v>25</v>
      </c>
      <c r="E36" s="199">
        <f t="shared" si="15"/>
        <v>505</v>
      </c>
      <c r="F36" s="199"/>
      <c r="G36" s="69">
        <f t="shared" si="16"/>
        <v>630</v>
      </c>
      <c r="H36" s="69">
        <f t="shared" si="17"/>
        <v>755</v>
      </c>
      <c r="I36" s="69">
        <f t="shared" si="18"/>
        <v>880</v>
      </c>
      <c r="J36" s="69">
        <f t="shared" si="19"/>
        <v>1005</v>
      </c>
      <c r="K36" s="69">
        <f t="shared" si="20"/>
        <v>1130</v>
      </c>
      <c r="L36" s="69">
        <f t="shared" si="21"/>
        <v>1255</v>
      </c>
      <c r="M36" s="7"/>
      <c r="N36" s="7"/>
      <c r="O36" s="7"/>
      <c r="P36" s="7"/>
      <c r="Q36" s="7"/>
      <c r="R36" s="7"/>
      <c r="S36" s="7"/>
    </row>
    <row r="37" spans="1:19" ht="19.149999999999999" customHeight="1">
      <c r="A37" s="7"/>
      <c r="B37" s="201" t="s">
        <v>316</v>
      </c>
      <c r="C37" s="201"/>
      <c r="D37" s="201"/>
      <c r="E37" s="201"/>
      <c r="F37" s="201"/>
      <c r="G37" s="201"/>
      <c r="H37" s="201"/>
      <c r="I37" s="201"/>
      <c r="J37" s="201"/>
      <c r="K37" s="201"/>
      <c r="L37" s="201"/>
      <c r="M37" s="7"/>
      <c r="N37" s="7"/>
      <c r="O37" s="7"/>
      <c r="P37" s="7"/>
      <c r="Q37" s="7"/>
      <c r="R37" s="7"/>
      <c r="S37" s="7"/>
    </row>
    <row r="38" spans="1:19" ht="19.149999999999999" customHeight="1">
      <c r="A38" s="7"/>
      <c r="B38" s="201"/>
      <c r="C38" s="201"/>
      <c r="D38" s="201"/>
      <c r="E38" s="201"/>
      <c r="F38" s="201"/>
      <c r="G38" s="201"/>
      <c r="H38" s="201"/>
      <c r="I38" s="201"/>
      <c r="J38" s="201"/>
      <c r="K38" s="201"/>
      <c r="L38" s="201"/>
      <c r="M38" s="7"/>
      <c r="N38" s="7"/>
      <c r="O38" s="7"/>
      <c r="P38" s="7"/>
      <c r="Q38" s="7"/>
      <c r="R38" s="7"/>
      <c r="S38" s="7"/>
    </row>
    <row r="39" spans="1:19" ht="19.149999999999999" customHeight="1">
      <c r="N39" s="7"/>
      <c r="O39" s="7"/>
      <c r="P39" s="7"/>
      <c r="Q39" s="7"/>
      <c r="R39" s="7"/>
      <c r="S39" s="7"/>
    </row>
    <row r="40" spans="1:19" ht="19.149999999999999" customHeight="1">
      <c r="N40" s="7"/>
      <c r="O40" s="7"/>
      <c r="P40" s="7"/>
      <c r="Q40" s="7"/>
      <c r="R40" s="7"/>
      <c r="S40" s="7"/>
    </row>
    <row r="41" spans="1:19" ht="19.149999999999999" customHeight="1">
      <c r="N41" s="7"/>
      <c r="O41" s="7"/>
      <c r="P41" s="7"/>
      <c r="Q41" s="7"/>
      <c r="R41" s="7"/>
    </row>
    <row r="42" spans="1:19" ht="19.149999999999999" customHeight="1">
      <c r="N42" s="7"/>
      <c r="O42" s="7"/>
      <c r="P42" s="7"/>
      <c r="Q42" s="7"/>
      <c r="R42" s="7"/>
    </row>
    <row r="43" spans="1:19" ht="19.149999999999999" customHeight="1">
      <c r="N43" s="7"/>
      <c r="O43" s="7"/>
      <c r="P43" s="7"/>
      <c r="Q43" s="7"/>
      <c r="R43" s="7"/>
    </row>
    <row r="44" spans="1:19">
      <c r="N44" s="7"/>
      <c r="O44" s="7"/>
      <c r="P44" s="7"/>
      <c r="Q44" s="7"/>
    </row>
    <row r="45" spans="1:19">
      <c r="N45" s="7"/>
      <c r="O45" s="7"/>
      <c r="P45" s="7"/>
      <c r="Q45" s="7"/>
    </row>
    <row r="46" spans="1:19">
      <c r="N46" s="7"/>
      <c r="O46" s="7"/>
      <c r="P46" s="7"/>
      <c r="Q46" s="7"/>
    </row>
    <row r="47" spans="1:19">
      <c r="N47" s="7"/>
      <c r="O47" s="7"/>
      <c r="P47" s="7"/>
      <c r="Q47" s="7"/>
    </row>
    <row r="48" spans="1:19">
      <c r="N48" s="7"/>
      <c r="O48" s="7"/>
      <c r="P48" s="7"/>
      <c r="Q48" s="7"/>
    </row>
    <row r="49" spans="14:17">
      <c r="N49" s="7"/>
      <c r="O49" s="7"/>
      <c r="P49" s="7"/>
      <c r="Q49" s="7"/>
    </row>
  </sheetData>
  <sheetProtection algorithmName="SHA-512" hashValue="UjXu4mxjGRZIV4/qWpF/aKS633iuNOQGuYn9mJXf/qQfP9FH0CpA1bZFYItG/OpnnTfC3tw6fOc9hlbqrz1V0A==" saltValue="EHNw+wEvwS5UF44c3Jo3qw==" spinCount="100000" sheet="1" objects="1" scenarios="1"/>
  <mergeCells count="36">
    <mergeCell ref="R4:R6"/>
    <mergeCell ref="E12:F12"/>
    <mergeCell ref="E13:F13"/>
    <mergeCell ref="E7:F7"/>
    <mergeCell ref="E8:F8"/>
    <mergeCell ref="G8:L8"/>
    <mergeCell ref="B2:L3"/>
    <mergeCell ref="B4:L6"/>
    <mergeCell ref="E18:F18"/>
    <mergeCell ref="B19:L20"/>
    <mergeCell ref="P33:Q33"/>
    <mergeCell ref="B23:L23"/>
    <mergeCell ref="E14:F14"/>
    <mergeCell ref="E15:F15"/>
    <mergeCell ref="E10:F10"/>
    <mergeCell ref="E11:F11"/>
    <mergeCell ref="B24:L24"/>
    <mergeCell ref="B22:L22"/>
    <mergeCell ref="E26:F26"/>
    <mergeCell ref="G26:L26"/>
    <mergeCell ref="E28:F28"/>
    <mergeCell ref="E29:F29"/>
    <mergeCell ref="B37:L38"/>
    <mergeCell ref="B8:D8"/>
    <mergeCell ref="B26:D26"/>
    <mergeCell ref="E30:F30"/>
    <mergeCell ref="E31:F31"/>
    <mergeCell ref="E32:F32"/>
    <mergeCell ref="E33:F33"/>
    <mergeCell ref="E36:F36"/>
    <mergeCell ref="C10:D10"/>
    <mergeCell ref="C28:D28"/>
    <mergeCell ref="E34:F34"/>
    <mergeCell ref="E35:F35"/>
    <mergeCell ref="E16:F16"/>
    <mergeCell ref="E17:F17"/>
  </mergeCells>
  <hyperlinks>
    <hyperlink ref="B24:L24" r:id="rId1" display="learn more" xr:uid="{958DF856-7D02-47F3-9264-BE28A6D4C36C}"/>
    <hyperlink ref="C10:D10" location="'Little QT'!A1" display="See tab for &quot;Little QT&quot;" xr:uid="{32E3AAD3-FEE8-4B78-8BDC-FAE728CCA8D6}"/>
    <hyperlink ref="C28:D28" location="'Little QT'!A1" display="See tab for &quot;Little QT&quot;" xr:uid="{145BF416-0E64-4083-A37A-B7D26C94FDC2}"/>
    <hyperlink ref="B23:L23" location="'Album Copies'!A1" display="Flat Rate Album Copies also available - see pricing." xr:uid="{FF7B3106-B479-45F2-ACF0-050A09545689}"/>
  </hyperlinks>
  <printOptions horizontalCentered="1"/>
  <pageMargins left="0.25" right="0.25" top="0.75" bottom="0.75" header="0.3" footer="0.3"/>
  <pageSetup paperSize="9" scale="71" orientation="landscape"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2A83-B0AA-4879-8DBF-85D73D323DF5}">
  <sheetPr codeName="Sheet4">
    <pageSetUpPr fitToPage="1"/>
  </sheetPr>
  <dimension ref="A2:S50"/>
  <sheetViews>
    <sheetView showGridLines="0" workbookViewId="0"/>
  </sheetViews>
  <sheetFormatPr defaultColWidth="9.265625" defaultRowHeight="14.25"/>
  <cols>
    <col min="1" max="1" width="3.86328125" style="25" customWidth="1"/>
    <col min="2" max="2" width="15.265625" style="25" customWidth="1"/>
    <col min="3" max="3" width="14.73046875" style="25" customWidth="1"/>
    <col min="4" max="4" width="16.265625" style="25" customWidth="1"/>
    <col min="5" max="5" width="5.73046875" style="25" customWidth="1"/>
    <col min="6" max="6" width="7.265625" style="25" customWidth="1"/>
    <col min="7" max="7" width="13.86328125" style="25" customWidth="1"/>
    <col min="8" max="8" width="11.73046875" style="25" customWidth="1"/>
    <col min="9" max="9" width="13.265625" style="25" customWidth="1"/>
    <col min="10" max="10" width="14" style="25" customWidth="1"/>
    <col min="11" max="11" width="12.86328125" style="25" customWidth="1"/>
    <col min="12" max="12" width="15.1328125" style="25" customWidth="1"/>
    <col min="13" max="13" width="3.86328125" style="25" customWidth="1"/>
    <col min="14" max="14" width="31.265625" style="25" bestFit="1" customWidth="1"/>
    <col min="15" max="15" width="8.59765625" style="25" bestFit="1" customWidth="1"/>
    <col min="16" max="16" width="10.265625" style="25" customWidth="1"/>
    <col min="17" max="16384" width="9.265625" style="25"/>
  </cols>
  <sheetData>
    <row r="2" spans="1:19" ht="19.149999999999999" customHeight="1" thickBot="1">
      <c r="B2" s="196" t="s">
        <v>311</v>
      </c>
      <c r="C2" s="196"/>
      <c r="D2" s="196"/>
      <c r="E2" s="196"/>
      <c r="F2" s="196"/>
      <c r="G2" s="196"/>
      <c r="H2" s="196"/>
      <c r="I2" s="196"/>
      <c r="J2" s="196"/>
      <c r="K2" s="196"/>
      <c r="L2" s="196"/>
      <c r="N2" s="113" t="s">
        <v>22</v>
      </c>
      <c r="O2" s="32"/>
      <c r="P2" s="11"/>
      <c r="Q2" s="11"/>
      <c r="R2" s="7"/>
      <c r="S2" s="7"/>
    </row>
    <row r="3" spans="1:19" ht="19.149999999999999" customHeight="1">
      <c r="B3" s="196"/>
      <c r="C3" s="196"/>
      <c r="D3" s="196"/>
      <c r="E3" s="196"/>
      <c r="F3" s="196"/>
      <c r="G3" s="196"/>
      <c r="H3" s="196"/>
      <c r="I3" s="196"/>
      <c r="J3" s="196"/>
      <c r="K3" s="196"/>
      <c r="L3" s="196"/>
      <c r="N3" s="35" t="s">
        <v>70</v>
      </c>
      <c r="O3" s="35"/>
      <c r="P3" s="12">
        <v>10</v>
      </c>
      <c r="Q3" s="7" t="s">
        <v>23</v>
      </c>
      <c r="R3" s="13" t="s">
        <v>24</v>
      </c>
      <c r="S3" s="7"/>
    </row>
    <row r="4" spans="1:19" ht="19.149999999999999" customHeight="1">
      <c r="B4" s="197" t="s">
        <v>312</v>
      </c>
      <c r="C4" s="197"/>
      <c r="D4" s="197"/>
      <c r="E4" s="197"/>
      <c r="F4" s="197"/>
      <c r="G4" s="197"/>
      <c r="H4" s="197"/>
      <c r="I4" s="197"/>
      <c r="J4" s="197"/>
      <c r="K4" s="197"/>
      <c r="L4" s="197"/>
      <c r="N4" s="35" t="s">
        <v>26</v>
      </c>
      <c r="O4" s="35"/>
      <c r="P4" s="27">
        <v>1</v>
      </c>
      <c r="Q4" s="16" t="s">
        <v>27</v>
      </c>
      <c r="R4" s="198" t="s">
        <v>28</v>
      </c>
      <c r="S4" s="26"/>
    </row>
    <row r="5" spans="1:19" s="7" customFormat="1" ht="19.149999999999999" customHeight="1">
      <c r="B5" s="197"/>
      <c r="C5" s="197"/>
      <c r="D5" s="197"/>
      <c r="E5" s="197"/>
      <c r="F5" s="197"/>
      <c r="G5" s="197"/>
      <c r="H5" s="197"/>
      <c r="I5" s="197"/>
      <c r="J5" s="197"/>
      <c r="K5" s="197"/>
      <c r="L5" s="197"/>
      <c r="N5" s="35" t="s">
        <v>29</v>
      </c>
      <c r="O5" s="35"/>
      <c r="P5" s="27">
        <v>1</v>
      </c>
      <c r="Q5" s="16" t="s">
        <v>27</v>
      </c>
      <c r="R5" s="198"/>
    </row>
    <row r="6" spans="1:19" s="7" customFormat="1" ht="19.149999999999999" customHeight="1">
      <c r="B6" s="197"/>
      <c r="C6" s="197"/>
      <c r="D6" s="197"/>
      <c r="E6" s="197"/>
      <c r="F6" s="197"/>
      <c r="G6" s="197"/>
      <c r="H6" s="197"/>
      <c r="I6" s="197"/>
      <c r="J6" s="197"/>
      <c r="K6" s="197"/>
      <c r="L6" s="197"/>
      <c r="N6" s="35" t="s">
        <v>30</v>
      </c>
      <c r="O6" s="35"/>
      <c r="P6" s="27">
        <v>1</v>
      </c>
      <c r="Q6" s="16" t="s">
        <v>27</v>
      </c>
      <c r="R6" s="198"/>
    </row>
    <row r="7" spans="1:19" s="9" customFormat="1" ht="34.9" customHeight="1">
      <c r="B7" s="28"/>
      <c r="C7" s="28"/>
      <c r="D7" s="28"/>
      <c r="E7" s="202" t="s">
        <v>31</v>
      </c>
      <c r="F7" s="202"/>
      <c r="G7" s="28"/>
      <c r="H7" s="28"/>
      <c r="I7" s="28"/>
      <c r="J7" s="28"/>
      <c r="K7" s="28"/>
      <c r="L7" s="28"/>
      <c r="N7" s="7"/>
      <c r="O7" s="7"/>
      <c r="P7" s="7"/>
      <c r="Q7" s="7"/>
      <c r="R7" s="7"/>
      <c r="S7" s="7"/>
    </row>
    <row r="8" spans="1:19" s="7" customFormat="1" ht="19.350000000000001" customHeight="1">
      <c r="B8" s="212" t="s">
        <v>313</v>
      </c>
      <c r="C8" s="212"/>
      <c r="D8" s="212"/>
      <c r="E8" s="203" t="s">
        <v>32</v>
      </c>
      <c r="F8" s="203"/>
      <c r="G8" s="204" t="s">
        <v>33</v>
      </c>
      <c r="H8" s="204"/>
      <c r="I8" s="204"/>
      <c r="J8" s="204"/>
      <c r="K8" s="204"/>
      <c r="L8" s="204"/>
    </row>
    <row r="9" spans="1:19" s="7" customFormat="1" ht="21.75" customHeight="1" thickBot="1">
      <c r="B9" s="55" t="s">
        <v>34</v>
      </c>
      <c r="C9" s="55" t="s">
        <v>35</v>
      </c>
      <c r="D9" s="55" t="s">
        <v>36</v>
      </c>
      <c r="E9" s="56">
        <f>$P$3</f>
        <v>10</v>
      </c>
      <c r="F9" s="57" t="s">
        <v>37</v>
      </c>
      <c r="G9" s="55" t="s">
        <v>38</v>
      </c>
      <c r="H9" s="55" t="s">
        <v>39</v>
      </c>
      <c r="I9" s="55" t="s">
        <v>40</v>
      </c>
      <c r="J9" s="55" t="s">
        <v>41</v>
      </c>
      <c r="K9" s="55" t="s">
        <v>42</v>
      </c>
      <c r="L9" s="55" t="s">
        <v>71</v>
      </c>
      <c r="N9" s="113" t="s">
        <v>47</v>
      </c>
      <c r="O9" s="113"/>
      <c r="P9" s="106" t="s">
        <v>48</v>
      </c>
      <c r="Q9" s="107" t="s">
        <v>49</v>
      </c>
      <c r="R9" s="26"/>
      <c r="S9" s="26"/>
    </row>
    <row r="10" spans="1:19" s="7" customFormat="1" ht="19.350000000000001" customHeight="1">
      <c r="B10" s="138" t="s">
        <v>344</v>
      </c>
      <c r="C10" s="211" t="s">
        <v>343</v>
      </c>
      <c r="D10" s="211"/>
      <c r="E10" s="209"/>
      <c r="F10" s="209"/>
      <c r="G10" s="139"/>
      <c r="H10" s="139"/>
      <c r="I10" s="139"/>
      <c r="J10" s="139"/>
      <c r="K10" s="139"/>
      <c r="L10" s="139"/>
      <c r="N10" s="108" t="s">
        <v>310</v>
      </c>
      <c r="O10" s="18">
        <v>15</v>
      </c>
      <c r="P10" s="17">
        <v>0</v>
      </c>
      <c r="Q10" s="18">
        <f t="shared" ref="Q10" si="0">O10*P10</f>
        <v>0</v>
      </c>
    </row>
    <row r="11" spans="1:19" s="26" customFormat="1" ht="19.149999999999999" customHeight="1">
      <c r="B11" s="61" t="s">
        <v>52</v>
      </c>
      <c r="C11" s="62">
        <f>160*$P$4</f>
        <v>160</v>
      </c>
      <c r="D11" s="62">
        <f>11*$P$5</f>
        <v>11</v>
      </c>
      <c r="E11" s="205">
        <f t="shared" ref="E11:E18" si="1">$C11+(($P$3-10)*$D11)+($P$34*$P$6)</f>
        <v>160</v>
      </c>
      <c r="F11" s="205"/>
      <c r="G11" s="62">
        <f t="shared" ref="G11:G18" si="2">$C11+((15-10)*$D11)+($P$34*$P$6)</f>
        <v>215</v>
      </c>
      <c r="H11" s="62">
        <f t="shared" ref="H11:H18" si="3">$C11+((20-10)*$D11)+($P$34*$P$6)</f>
        <v>270</v>
      </c>
      <c r="I11" s="62">
        <f t="shared" ref="I11:I18" si="4">$C11+((25-10)*$D11)+($P$34*$P$6)</f>
        <v>325</v>
      </c>
      <c r="J11" s="62">
        <f t="shared" ref="J11:J18" si="5">$C11+((30-10)*$D11)+($P$34*$P$6)</f>
        <v>380</v>
      </c>
      <c r="K11" s="62">
        <f t="shared" ref="K11:K18" si="6">$C11+((35-10)*$D11)+($P$34*$P$6)</f>
        <v>435</v>
      </c>
      <c r="L11" s="62">
        <f t="shared" ref="L11:L18" si="7">$C11+((40-10)*$D11)+($P$34*$P$6)</f>
        <v>490</v>
      </c>
      <c r="N11" s="108" t="s">
        <v>51</v>
      </c>
      <c r="O11" s="18">
        <v>13</v>
      </c>
      <c r="P11" s="17">
        <v>0</v>
      </c>
      <c r="Q11" s="18">
        <f t="shared" ref="Q11" si="8">O11*P11</f>
        <v>0</v>
      </c>
      <c r="R11" s="7"/>
      <c r="S11" s="7"/>
    </row>
    <row r="12" spans="1:19" s="7" customFormat="1" ht="19.149999999999999" customHeight="1">
      <c r="B12" s="61" t="s">
        <v>54</v>
      </c>
      <c r="C12" s="62">
        <f>235*$P$4</f>
        <v>235</v>
      </c>
      <c r="D12" s="62">
        <f>12*$P$5</f>
        <v>12</v>
      </c>
      <c r="E12" s="205">
        <f t="shared" si="1"/>
        <v>235</v>
      </c>
      <c r="F12" s="205"/>
      <c r="G12" s="62">
        <f t="shared" si="2"/>
        <v>295</v>
      </c>
      <c r="H12" s="62">
        <f t="shared" si="3"/>
        <v>355</v>
      </c>
      <c r="I12" s="62">
        <f t="shared" si="4"/>
        <v>415</v>
      </c>
      <c r="J12" s="62">
        <f t="shared" si="5"/>
        <v>475</v>
      </c>
      <c r="K12" s="62">
        <f t="shared" si="6"/>
        <v>535</v>
      </c>
      <c r="L12" s="62">
        <f t="shared" si="7"/>
        <v>595</v>
      </c>
      <c r="N12" s="108" t="s">
        <v>53</v>
      </c>
      <c r="O12" s="18">
        <v>45</v>
      </c>
      <c r="P12" s="17">
        <v>0</v>
      </c>
      <c r="Q12" s="18">
        <f>O12*P12</f>
        <v>0</v>
      </c>
    </row>
    <row r="13" spans="1:19" s="7" customFormat="1" ht="19.149999999999999" customHeight="1">
      <c r="B13" s="71" t="s">
        <v>56</v>
      </c>
      <c r="C13" s="62">
        <f>275*$P$4</f>
        <v>275</v>
      </c>
      <c r="D13" s="62">
        <f>14*$P$5</f>
        <v>14</v>
      </c>
      <c r="E13" s="205">
        <f t="shared" si="1"/>
        <v>275</v>
      </c>
      <c r="F13" s="205"/>
      <c r="G13" s="62">
        <f t="shared" si="2"/>
        <v>345</v>
      </c>
      <c r="H13" s="62">
        <f t="shared" si="3"/>
        <v>415</v>
      </c>
      <c r="I13" s="62">
        <f t="shared" si="4"/>
        <v>485</v>
      </c>
      <c r="J13" s="62">
        <f t="shared" si="5"/>
        <v>555</v>
      </c>
      <c r="K13" s="62">
        <f t="shared" si="6"/>
        <v>625</v>
      </c>
      <c r="L13" s="62">
        <f t="shared" si="7"/>
        <v>695</v>
      </c>
      <c r="N13" s="109" t="s">
        <v>55</v>
      </c>
      <c r="O13" s="18">
        <v>85</v>
      </c>
      <c r="P13" s="17">
        <v>0</v>
      </c>
      <c r="Q13" s="18">
        <f t="shared" ref="Q13:Q29" si="9">O13*P13</f>
        <v>0</v>
      </c>
    </row>
    <row r="14" spans="1:19" s="7" customFormat="1" ht="19.149999999999999" customHeight="1">
      <c r="B14" s="61" t="s">
        <v>58</v>
      </c>
      <c r="C14" s="62">
        <f>275*$P$4</f>
        <v>275</v>
      </c>
      <c r="D14" s="62">
        <f>15*$P$5</f>
        <v>15</v>
      </c>
      <c r="E14" s="205">
        <f t="shared" si="1"/>
        <v>275</v>
      </c>
      <c r="F14" s="205"/>
      <c r="G14" s="62">
        <f t="shared" si="2"/>
        <v>350</v>
      </c>
      <c r="H14" s="62">
        <f t="shared" si="3"/>
        <v>425</v>
      </c>
      <c r="I14" s="62">
        <f t="shared" si="4"/>
        <v>500</v>
      </c>
      <c r="J14" s="62">
        <f t="shared" si="5"/>
        <v>575</v>
      </c>
      <c r="K14" s="62">
        <f t="shared" si="6"/>
        <v>650</v>
      </c>
      <c r="L14" s="62">
        <f t="shared" si="7"/>
        <v>725</v>
      </c>
      <c r="N14" s="109" t="s">
        <v>180</v>
      </c>
      <c r="O14" s="18">
        <v>95</v>
      </c>
      <c r="P14" s="17">
        <v>0</v>
      </c>
      <c r="Q14" s="18">
        <f t="shared" si="9"/>
        <v>0</v>
      </c>
    </row>
    <row r="15" spans="1:19" s="26" customFormat="1" ht="19.149999999999999" customHeight="1">
      <c r="B15" s="71" t="s">
        <v>60</v>
      </c>
      <c r="C15" s="62">
        <f>350*$P$4</f>
        <v>350</v>
      </c>
      <c r="D15" s="62">
        <f>18*$P$5</f>
        <v>18</v>
      </c>
      <c r="E15" s="205">
        <f t="shared" si="1"/>
        <v>350</v>
      </c>
      <c r="F15" s="205"/>
      <c r="G15" s="62">
        <f t="shared" si="2"/>
        <v>440</v>
      </c>
      <c r="H15" s="62">
        <f t="shared" si="3"/>
        <v>530</v>
      </c>
      <c r="I15" s="62">
        <f t="shared" si="4"/>
        <v>620</v>
      </c>
      <c r="J15" s="62">
        <f t="shared" si="5"/>
        <v>710</v>
      </c>
      <c r="K15" s="62">
        <f t="shared" si="6"/>
        <v>800</v>
      </c>
      <c r="L15" s="62">
        <f t="shared" si="7"/>
        <v>890</v>
      </c>
      <c r="N15" s="108" t="s">
        <v>57</v>
      </c>
      <c r="O15" s="18">
        <v>55</v>
      </c>
      <c r="P15" s="17">
        <v>0</v>
      </c>
      <c r="Q15" s="18">
        <f t="shared" si="9"/>
        <v>0</v>
      </c>
      <c r="R15" s="7"/>
    </row>
    <row r="16" spans="1:19" s="7" customFormat="1" ht="19.149999999999999" customHeight="1">
      <c r="A16" s="26"/>
      <c r="B16" s="71" t="s">
        <v>411</v>
      </c>
      <c r="C16" s="62">
        <f>375*$P$4</f>
        <v>375</v>
      </c>
      <c r="D16" s="62">
        <f>24*$P$5</f>
        <v>24</v>
      </c>
      <c r="E16" s="205">
        <f t="shared" si="1"/>
        <v>375</v>
      </c>
      <c r="F16" s="205"/>
      <c r="G16" s="62">
        <f t="shared" si="2"/>
        <v>495</v>
      </c>
      <c r="H16" s="62">
        <f t="shared" si="3"/>
        <v>615</v>
      </c>
      <c r="I16" s="62">
        <f t="shared" si="4"/>
        <v>735</v>
      </c>
      <c r="J16" s="62">
        <f t="shared" si="5"/>
        <v>855</v>
      </c>
      <c r="K16" s="62">
        <f t="shared" si="6"/>
        <v>975</v>
      </c>
      <c r="L16" s="62">
        <f t="shared" si="7"/>
        <v>1095</v>
      </c>
      <c r="M16" s="26"/>
      <c r="N16" s="108" t="s">
        <v>181</v>
      </c>
      <c r="O16" s="18">
        <v>18</v>
      </c>
      <c r="P16" s="17">
        <v>0</v>
      </c>
      <c r="Q16" s="18">
        <f t="shared" si="9"/>
        <v>0</v>
      </c>
    </row>
    <row r="17" spans="1:19" s="7" customFormat="1" ht="19.149999999999999" customHeight="1">
      <c r="A17" s="26"/>
      <c r="B17" s="71" t="s">
        <v>412</v>
      </c>
      <c r="C17" s="62">
        <f>400*$P$4</f>
        <v>400</v>
      </c>
      <c r="D17" s="62">
        <f>28*$P$5</f>
        <v>28</v>
      </c>
      <c r="E17" s="205">
        <f t="shared" si="1"/>
        <v>400</v>
      </c>
      <c r="F17" s="205"/>
      <c r="G17" s="62">
        <f t="shared" si="2"/>
        <v>540</v>
      </c>
      <c r="H17" s="62">
        <f t="shared" si="3"/>
        <v>680</v>
      </c>
      <c r="I17" s="62">
        <f t="shared" si="4"/>
        <v>820</v>
      </c>
      <c r="J17" s="62">
        <f t="shared" si="5"/>
        <v>960</v>
      </c>
      <c r="K17" s="62">
        <f t="shared" si="6"/>
        <v>1100</v>
      </c>
      <c r="L17" s="62">
        <f t="shared" si="7"/>
        <v>1240</v>
      </c>
      <c r="M17" s="26"/>
      <c r="N17" s="110" t="s">
        <v>59</v>
      </c>
      <c r="O17" s="18">
        <v>45</v>
      </c>
      <c r="P17" s="17">
        <v>0</v>
      </c>
      <c r="Q17" s="18">
        <f t="shared" si="9"/>
        <v>0</v>
      </c>
    </row>
    <row r="18" spans="1:19" s="7" customFormat="1" ht="19.149999999999999" customHeight="1" thickBot="1">
      <c r="B18" s="76" t="s">
        <v>61</v>
      </c>
      <c r="C18" s="75">
        <f>500*$P$4</f>
        <v>500</v>
      </c>
      <c r="D18" s="75">
        <f>30*$P$5</f>
        <v>30</v>
      </c>
      <c r="E18" s="199">
        <f t="shared" si="1"/>
        <v>500</v>
      </c>
      <c r="F18" s="199"/>
      <c r="G18" s="69">
        <f t="shared" si="2"/>
        <v>650</v>
      </c>
      <c r="H18" s="69">
        <f t="shared" si="3"/>
        <v>800</v>
      </c>
      <c r="I18" s="69">
        <f t="shared" si="4"/>
        <v>950</v>
      </c>
      <c r="J18" s="69">
        <f t="shared" si="5"/>
        <v>1100</v>
      </c>
      <c r="K18" s="69">
        <f t="shared" si="6"/>
        <v>1250</v>
      </c>
      <c r="L18" s="69">
        <f t="shared" si="7"/>
        <v>1400</v>
      </c>
      <c r="N18" s="110" t="s">
        <v>253</v>
      </c>
      <c r="O18" s="18">
        <v>25</v>
      </c>
      <c r="P18" s="17">
        <v>0</v>
      </c>
      <c r="Q18" s="18">
        <f t="shared" si="9"/>
        <v>0</v>
      </c>
    </row>
    <row r="19" spans="1:19" s="26" customFormat="1" ht="19.149999999999999" customHeight="1">
      <c r="A19" s="7"/>
      <c r="B19" s="201" t="s">
        <v>316</v>
      </c>
      <c r="C19" s="201"/>
      <c r="D19" s="201"/>
      <c r="E19" s="201"/>
      <c r="F19" s="201"/>
      <c r="G19" s="201"/>
      <c r="H19" s="201"/>
      <c r="I19" s="201"/>
      <c r="J19" s="201"/>
      <c r="K19" s="201"/>
      <c r="L19" s="201"/>
      <c r="M19" s="7"/>
      <c r="N19" s="110" t="s">
        <v>184</v>
      </c>
      <c r="O19" s="18">
        <v>30</v>
      </c>
      <c r="P19" s="17">
        <v>0</v>
      </c>
      <c r="Q19" s="18">
        <f>O19*P19</f>
        <v>0</v>
      </c>
      <c r="R19" s="7"/>
      <c r="S19" s="7"/>
    </row>
    <row r="20" spans="1:19" s="26" customFormat="1" ht="19.149999999999999" customHeight="1">
      <c r="A20" s="7"/>
      <c r="B20" s="201"/>
      <c r="C20" s="201"/>
      <c r="D20" s="201"/>
      <c r="E20" s="201"/>
      <c r="F20" s="201"/>
      <c r="G20" s="201"/>
      <c r="H20" s="201"/>
      <c r="I20" s="201"/>
      <c r="J20" s="201"/>
      <c r="K20" s="201"/>
      <c r="L20" s="201"/>
      <c r="M20" s="7"/>
      <c r="N20" s="110" t="s">
        <v>383</v>
      </c>
      <c r="O20" s="18">
        <v>25</v>
      </c>
      <c r="P20" s="17">
        <v>0</v>
      </c>
      <c r="Q20" s="18">
        <f>O20*P20</f>
        <v>0</v>
      </c>
      <c r="R20" s="7"/>
      <c r="S20" s="7"/>
    </row>
    <row r="21" spans="1:19" s="26" customFormat="1" ht="19.149999999999999" customHeight="1">
      <c r="N21" s="110" t="s">
        <v>183</v>
      </c>
      <c r="O21" s="18">
        <v>25</v>
      </c>
      <c r="P21" s="17">
        <v>0</v>
      </c>
      <c r="Q21" s="18">
        <f>O21*P21</f>
        <v>0</v>
      </c>
      <c r="R21" s="7"/>
    </row>
    <row r="22" spans="1:19" s="7" customFormat="1" ht="19.149999999999999" customHeight="1">
      <c r="A22" s="26"/>
      <c r="B22" s="197" t="s">
        <v>63</v>
      </c>
      <c r="C22" s="197"/>
      <c r="D22" s="197"/>
      <c r="E22" s="197"/>
      <c r="F22" s="197"/>
      <c r="G22" s="197"/>
      <c r="H22" s="197"/>
      <c r="I22" s="197"/>
      <c r="J22" s="197"/>
      <c r="K22" s="197"/>
      <c r="L22" s="197"/>
      <c r="M22" s="26"/>
      <c r="N22" s="108" t="s">
        <v>62</v>
      </c>
      <c r="O22" s="18">
        <v>18</v>
      </c>
      <c r="P22" s="17">
        <v>0</v>
      </c>
      <c r="Q22" s="18">
        <f t="shared" si="9"/>
        <v>0</v>
      </c>
    </row>
    <row r="23" spans="1:19" s="7" customFormat="1" ht="19.149999999999999" customHeight="1">
      <c r="A23" s="26"/>
      <c r="B23" s="197" t="s">
        <v>375</v>
      </c>
      <c r="C23" s="197"/>
      <c r="D23" s="197"/>
      <c r="E23" s="197"/>
      <c r="F23" s="197"/>
      <c r="G23" s="197"/>
      <c r="H23" s="197"/>
      <c r="I23" s="197"/>
      <c r="J23" s="197"/>
      <c r="K23" s="197"/>
      <c r="L23" s="197"/>
      <c r="M23" s="26"/>
      <c r="N23" s="108" t="s">
        <v>254</v>
      </c>
      <c r="O23" s="18">
        <v>18</v>
      </c>
      <c r="P23" s="17">
        <v>0</v>
      </c>
      <c r="Q23" s="18">
        <f t="shared" si="9"/>
        <v>0</v>
      </c>
    </row>
    <row r="24" spans="1:19" s="7" customFormat="1" ht="19.149999999999999" customHeight="1">
      <c r="B24" s="208" t="s">
        <v>66</v>
      </c>
      <c r="C24" s="208"/>
      <c r="D24" s="208"/>
      <c r="E24" s="208"/>
      <c r="F24" s="208"/>
      <c r="G24" s="208"/>
      <c r="H24" s="208"/>
      <c r="I24" s="208"/>
      <c r="J24" s="208"/>
      <c r="K24" s="208"/>
      <c r="L24" s="208"/>
      <c r="N24" s="109" t="s">
        <v>255</v>
      </c>
      <c r="O24" s="18">
        <v>27</v>
      </c>
      <c r="P24" s="17">
        <v>0</v>
      </c>
      <c r="Q24" s="18">
        <f t="shared" si="9"/>
        <v>0</v>
      </c>
    </row>
    <row r="25" spans="1:19" s="7" customFormat="1" ht="19.149999999999999" customHeight="1">
      <c r="B25" s="25"/>
      <c r="C25" s="25"/>
      <c r="D25" s="25"/>
      <c r="E25" s="25"/>
      <c r="F25" s="25"/>
      <c r="G25" s="25"/>
      <c r="N25" s="109" t="s">
        <v>256</v>
      </c>
      <c r="O25" s="18">
        <v>32</v>
      </c>
      <c r="P25" s="17">
        <v>0</v>
      </c>
      <c r="Q25" s="18">
        <f t="shared" si="9"/>
        <v>0</v>
      </c>
    </row>
    <row r="26" spans="1:19" s="7" customFormat="1" ht="19.149999999999999" customHeight="1">
      <c r="B26" s="212" t="s">
        <v>314</v>
      </c>
      <c r="C26" s="212"/>
      <c r="D26" s="212"/>
      <c r="E26" s="203" t="s">
        <v>32</v>
      </c>
      <c r="F26" s="203"/>
      <c r="G26" s="204" t="s">
        <v>33</v>
      </c>
      <c r="H26" s="204"/>
      <c r="I26" s="204"/>
      <c r="J26" s="204"/>
      <c r="K26" s="204"/>
      <c r="L26" s="204"/>
      <c r="N26" s="109" t="s">
        <v>257</v>
      </c>
      <c r="O26" s="18">
        <v>37</v>
      </c>
      <c r="P26" s="17">
        <v>0</v>
      </c>
      <c r="Q26" s="18">
        <f t="shared" si="9"/>
        <v>0</v>
      </c>
    </row>
    <row r="27" spans="1:19" s="7" customFormat="1" ht="19.149999999999999" customHeight="1" thickBot="1">
      <c r="B27" s="55" t="s">
        <v>34</v>
      </c>
      <c r="C27" s="55" t="s">
        <v>35</v>
      </c>
      <c r="D27" s="55" t="s">
        <v>36</v>
      </c>
      <c r="E27" s="56">
        <f>$P$3</f>
        <v>10</v>
      </c>
      <c r="F27" s="57" t="s">
        <v>37</v>
      </c>
      <c r="G27" s="55" t="s">
        <v>38</v>
      </c>
      <c r="H27" s="55" t="s">
        <v>39</v>
      </c>
      <c r="I27" s="55" t="s">
        <v>40</v>
      </c>
      <c r="J27" s="55" t="s">
        <v>41</v>
      </c>
      <c r="K27" s="55" t="s">
        <v>42</v>
      </c>
      <c r="L27" s="55" t="s">
        <v>71</v>
      </c>
      <c r="N27" s="108" t="s">
        <v>182</v>
      </c>
      <c r="O27" s="18">
        <v>18</v>
      </c>
      <c r="P27" s="17">
        <v>0</v>
      </c>
      <c r="Q27" s="18">
        <f t="shared" si="9"/>
        <v>0</v>
      </c>
    </row>
    <row r="28" spans="1:19" s="7" customFormat="1" ht="19.149999999999999" customHeight="1">
      <c r="B28" s="138" t="s">
        <v>344</v>
      </c>
      <c r="C28" s="211" t="s">
        <v>343</v>
      </c>
      <c r="D28" s="211"/>
      <c r="E28" s="209"/>
      <c r="F28" s="209"/>
      <c r="G28" s="139"/>
      <c r="H28" s="139"/>
      <c r="I28" s="139"/>
      <c r="J28" s="139"/>
      <c r="K28" s="139"/>
      <c r="L28" s="139"/>
      <c r="N28" s="110" t="s">
        <v>217</v>
      </c>
      <c r="O28" s="18">
        <v>35</v>
      </c>
      <c r="P28" s="17">
        <v>0</v>
      </c>
      <c r="Q28" s="18">
        <f t="shared" si="9"/>
        <v>0</v>
      </c>
    </row>
    <row r="29" spans="1:19" s="7" customFormat="1" ht="19.149999999999999" customHeight="1">
      <c r="A29" s="26"/>
      <c r="B29" s="61" t="s">
        <v>52</v>
      </c>
      <c r="C29" s="62">
        <f>185*$P$4</f>
        <v>185</v>
      </c>
      <c r="D29" s="62">
        <f>13.5*$P$5</f>
        <v>13.5</v>
      </c>
      <c r="E29" s="205">
        <f t="shared" ref="E29:E36" si="10">$C29+(($P$3-10)*$D29)+($P$34*$P$6)</f>
        <v>185</v>
      </c>
      <c r="F29" s="205"/>
      <c r="G29" s="62">
        <f t="shared" ref="G29:G36" si="11">$C29+((15-10)*$D29)+($P$34*$P$6)</f>
        <v>252.5</v>
      </c>
      <c r="H29" s="62">
        <f t="shared" ref="H29:H36" si="12">$C29+((20-10)*$D29)+($P$34*$P$6)</f>
        <v>320</v>
      </c>
      <c r="I29" s="62">
        <f t="shared" ref="I29:I36" si="13">$C29+((25-10)*$D29)+($P$34*$P$6)</f>
        <v>387.5</v>
      </c>
      <c r="J29" s="62">
        <f t="shared" ref="J29:J36" si="14">$C29+((30-10)*$D29)+($P$34*$P$6)</f>
        <v>455</v>
      </c>
      <c r="K29" s="62">
        <f t="shared" ref="K29:K36" si="15">$C29+((35-10)*$D29)+($P$34*$P$6)</f>
        <v>522.5</v>
      </c>
      <c r="L29" s="62">
        <f t="shared" ref="L29:L36" si="16">$C29+((40-10)*$D29)+($P$34*$P$6)</f>
        <v>590</v>
      </c>
      <c r="M29" s="26"/>
      <c r="N29" s="110" t="s">
        <v>218</v>
      </c>
      <c r="O29" s="18">
        <v>40</v>
      </c>
      <c r="P29" s="17">
        <v>0</v>
      </c>
      <c r="Q29" s="18">
        <f t="shared" si="9"/>
        <v>0</v>
      </c>
    </row>
    <row r="30" spans="1:19" s="7" customFormat="1" ht="19.149999999999999" customHeight="1">
      <c r="B30" s="61" t="s">
        <v>54</v>
      </c>
      <c r="C30" s="62">
        <f>265*$P$4</f>
        <v>265</v>
      </c>
      <c r="D30" s="62">
        <f>15*$P$5</f>
        <v>15</v>
      </c>
      <c r="E30" s="205">
        <f t="shared" si="10"/>
        <v>265</v>
      </c>
      <c r="F30" s="205"/>
      <c r="G30" s="62">
        <f t="shared" si="11"/>
        <v>340</v>
      </c>
      <c r="H30" s="62">
        <f t="shared" si="12"/>
        <v>415</v>
      </c>
      <c r="I30" s="62">
        <f t="shared" si="13"/>
        <v>490</v>
      </c>
      <c r="J30" s="62">
        <f t="shared" si="14"/>
        <v>565</v>
      </c>
      <c r="K30" s="62">
        <f t="shared" si="15"/>
        <v>640</v>
      </c>
      <c r="L30" s="62">
        <f t="shared" si="16"/>
        <v>715</v>
      </c>
      <c r="N30" s="110" t="s">
        <v>64</v>
      </c>
      <c r="O30" s="18">
        <v>12</v>
      </c>
      <c r="P30" s="17">
        <v>0</v>
      </c>
      <c r="Q30" s="18">
        <f>O30*P30</f>
        <v>0</v>
      </c>
    </row>
    <row r="31" spans="1:19" s="7" customFormat="1" ht="19.149999999999999" customHeight="1">
      <c r="B31" s="71" t="s">
        <v>56</v>
      </c>
      <c r="C31" s="62">
        <f>300*$P$4</f>
        <v>300</v>
      </c>
      <c r="D31" s="62">
        <f>17*$P$5</f>
        <v>17</v>
      </c>
      <c r="E31" s="205">
        <f t="shared" si="10"/>
        <v>300</v>
      </c>
      <c r="F31" s="205"/>
      <c r="G31" s="62">
        <f t="shared" si="11"/>
        <v>385</v>
      </c>
      <c r="H31" s="62">
        <f t="shared" si="12"/>
        <v>470</v>
      </c>
      <c r="I31" s="62">
        <f t="shared" si="13"/>
        <v>555</v>
      </c>
      <c r="J31" s="62">
        <f t="shared" si="14"/>
        <v>640</v>
      </c>
      <c r="K31" s="62">
        <f t="shared" si="15"/>
        <v>725</v>
      </c>
      <c r="L31" s="62">
        <f t="shared" si="16"/>
        <v>810</v>
      </c>
      <c r="N31" s="110" t="s">
        <v>65</v>
      </c>
      <c r="O31" s="18">
        <v>25</v>
      </c>
      <c r="P31" s="17">
        <v>0</v>
      </c>
      <c r="Q31" s="18">
        <f t="shared" ref="Q31:Q32" si="17">O31*P31</f>
        <v>0</v>
      </c>
    </row>
    <row r="32" spans="1:19" s="7" customFormat="1" ht="19.149999999999999" customHeight="1">
      <c r="B32" s="61" t="s">
        <v>58</v>
      </c>
      <c r="C32" s="62">
        <f>315*$P$4</f>
        <v>315</v>
      </c>
      <c r="D32" s="62">
        <f>18*$P$5</f>
        <v>18</v>
      </c>
      <c r="E32" s="205">
        <f t="shared" si="10"/>
        <v>315</v>
      </c>
      <c r="F32" s="205"/>
      <c r="G32" s="62">
        <f t="shared" si="11"/>
        <v>405</v>
      </c>
      <c r="H32" s="62">
        <f t="shared" si="12"/>
        <v>495</v>
      </c>
      <c r="I32" s="62">
        <f t="shared" si="13"/>
        <v>585</v>
      </c>
      <c r="J32" s="62">
        <f t="shared" si="14"/>
        <v>675</v>
      </c>
      <c r="K32" s="62">
        <f t="shared" si="15"/>
        <v>765</v>
      </c>
      <c r="L32" s="62">
        <f t="shared" si="16"/>
        <v>855</v>
      </c>
      <c r="N32" s="110" t="s">
        <v>67</v>
      </c>
      <c r="O32" s="18">
        <v>15</v>
      </c>
      <c r="P32" s="17">
        <v>0</v>
      </c>
      <c r="Q32" s="18">
        <f t="shared" si="17"/>
        <v>0</v>
      </c>
    </row>
    <row r="33" spans="1:19" s="7" customFormat="1" ht="19.149999999999999" customHeight="1" thickBot="1">
      <c r="A33" s="26"/>
      <c r="B33" s="71" t="s">
        <v>60</v>
      </c>
      <c r="C33" s="62">
        <f>400*$P$4</f>
        <v>400</v>
      </c>
      <c r="D33" s="62">
        <f>22*$P$5</f>
        <v>22</v>
      </c>
      <c r="E33" s="205">
        <f t="shared" si="10"/>
        <v>400</v>
      </c>
      <c r="F33" s="205"/>
      <c r="G33" s="62">
        <f t="shared" si="11"/>
        <v>510</v>
      </c>
      <c r="H33" s="62">
        <f t="shared" si="12"/>
        <v>620</v>
      </c>
      <c r="I33" s="62">
        <f t="shared" si="13"/>
        <v>730</v>
      </c>
      <c r="J33" s="62">
        <f t="shared" si="14"/>
        <v>840</v>
      </c>
      <c r="K33" s="62">
        <f t="shared" si="15"/>
        <v>950</v>
      </c>
      <c r="L33" s="62">
        <f t="shared" si="16"/>
        <v>1060</v>
      </c>
      <c r="M33" s="26"/>
      <c r="N33" s="111" t="s">
        <v>68</v>
      </c>
      <c r="O33" s="22"/>
      <c r="P33" s="22"/>
      <c r="Q33" s="22"/>
    </row>
    <row r="34" spans="1:19" ht="19.149999999999999" customHeight="1" thickTop="1">
      <c r="A34" s="26"/>
      <c r="B34" s="71" t="s">
        <v>411</v>
      </c>
      <c r="C34" s="62">
        <f>425*$P$4</f>
        <v>425</v>
      </c>
      <c r="D34" s="62">
        <f>29*$P$5</f>
        <v>29</v>
      </c>
      <c r="E34" s="205">
        <f t="shared" si="10"/>
        <v>425</v>
      </c>
      <c r="F34" s="205"/>
      <c r="G34" s="62">
        <f t="shared" si="11"/>
        <v>570</v>
      </c>
      <c r="H34" s="62">
        <f t="shared" si="12"/>
        <v>715</v>
      </c>
      <c r="I34" s="62">
        <f t="shared" si="13"/>
        <v>860</v>
      </c>
      <c r="J34" s="62">
        <f t="shared" si="14"/>
        <v>1005</v>
      </c>
      <c r="K34" s="62">
        <f t="shared" si="15"/>
        <v>1150</v>
      </c>
      <c r="L34" s="62">
        <f t="shared" si="16"/>
        <v>1295</v>
      </c>
      <c r="M34" s="26"/>
      <c r="N34" s="23"/>
      <c r="O34" s="20" t="s">
        <v>69</v>
      </c>
      <c r="P34" s="206">
        <f>SUM(Q10:Q32)</f>
        <v>0</v>
      </c>
      <c r="Q34" s="206"/>
      <c r="R34" s="7"/>
      <c r="S34" s="7"/>
    </row>
    <row r="35" spans="1:19" ht="19.149999999999999" customHeight="1">
      <c r="A35" s="26"/>
      <c r="B35" s="71" t="s">
        <v>412</v>
      </c>
      <c r="C35" s="62">
        <f>460*$P$4</f>
        <v>460</v>
      </c>
      <c r="D35" s="62">
        <f>34*$P$5</f>
        <v>34</v>
      </c>
      <c r="E35" s="205">
        <f t="shared" si="10"/>
        <v>460</v>
      </c>
      <c r="F35" s="205"/>
      <c r="G35" s="62">
        <f t="shared" si="11"/>
        <v>630</v>
      </c>
      <c r="H35" s="62">
        <f t="shared" si="12"/>
        <v>800</v>
      </c>
      <c r="I35" s="62">
        <f t="shared" si="13"/>
        <v>970</v>
      </c>
      <c r="J35" s="62">
        <f t="shared" si="14"/>
        <v>1140</v>
      </c>
      <c r="K35" s="62">
        <f t="shared" si="15"/>
        <v>1310</v>
      </c>
      <c r="L35" s="62">
        <f t="shared" si="16"/>
        <v>1480</v>
      </c>
      <c r="M35" s="26"/>
      <c r="N35" s="7"/>
      <c r="O35" s="7"/>
      <c r="P35" s="7"/>
      <c r="Q35" s="7"/>
      <c r="R35" s="7"/>
      <c r="S35" s="7"/>
    </row>
    <row r="36" spans="1:19" ht="19.149999999999999" customHeight="1" thickBot="1">
      <c r="A36" s="7"/>
      <c r="B36" s="76" t="s">
        <v>61</v>
      </c>
      <c r="C36" s="75">
        <f>560*$P$4</f>
        <v>560</v>
      </c>
      <c r="D36" s="75">
        <f>36*$P$5</f>
        <v>36</v>
      </c>
      <c r="E36" s="199">
        <f t="shared" si="10"/>
        <v>560</v>
      </c>
      <c r="F36" s="199"/>
      <c r="G36" s="69">
        <f t="shared" si="11"/>
        <v>740</v>
      </c>
      <c r="H36" s="69">
        <f t="shared" si="12"/>
        <v>920</v>
      </c>
      <c r="I36" s="69">
        <f t="shared" si="13"/>
        <v>1100</v>
      </c>
      <c r="J36" s="69">
        <f t="shared" si="14"/>
        <v>1280</v>
      </c>
      <c r="K36" s="69">
        <f t="shared" si="15"/>
        <v>1460</v>
      </c>
      <c r="L36" s="69">
        <f t="shared" si="16"/>
        <v>1640</v>
      </c>
      <c r="M36" s="7"/>
      <c r="N36" s="7"/>
      <c r="O36" s="7"/>
      <c r="P36" s="7"/>
      <c r="Q36" s="7"/>
      <c r="R36" s="7"/>
      <c r="S36" s="7"/>
    </row>
    <row r="37" spans="1:19" ht="19.149999999999999" customHeight="1">
      <c r="A37" s="7"/>
      <c r="B37" s="201" t="s">
        <v>316</v>
      </c>
      <c r="C37" s="201"/>
      <c r="D37" s="201"/>
      <c r="E37" s="201"/>
      <c r="F37" s="201"/>
      <c r="G37" s="201"/>
      <c r="H37" s="201"/>
      <c r="I37" s="201"/>
      <c r="J37" s="201"/>
      <c r="K37" s="201"/>
      <c r="L37" s="201"/>
      <c r="M37" s="7"/>
      <c r="N37" s="7"/>
      <c r="O37" s="7"/>
      <c r="P37" s="7"/>
      <c r="Q37" s="7"/>
      <c r="R37" s="7"/>
      <c r="S37" s="7"/>
    </row>
    <row r="38" spans="1:19" ht="19.149999999999999" customHeight="1">
      <c r="A38" s="7"/>
      <c r="B38" s="201"/>
      <c r="C38" s="201"/>
      <c r="D38" s="201"/>
      <c r="E38" s="201"/>
      <c r="F38" s="201"/>
      <c r="G38" s="201"/>
      <c r="H38" s="201"/>
      <c r="I38" s="201"/>
      <c r="J38" s="201"/>
      <c r="K38" s="201"/>
      <c r="L38" s="201"/>
      <c r="M38" s="7"/>
      <c r="N38" s="7"/>
      <c r="O38" s="7"/>
      <c r="P38" s="7"/>
      <c r="Q38" s="7"/>
      <c r="R38" s="7"/>
      <c r="S38" s="7"/>
    </row>
    <row r="39" spans="1:19" ht="19.149999999999999" customHeight="1">
      <c r="N39" s="7"/>
      <c r="O39" s="7"/>
      <c r="P39" s="7"/>
      <c r="Q39" s="7"/>
      <c r="R39" s="7"/>
      <c r="S39" s="7"/>
    </row>
    <row r="40" spans="1:19" ht="19.149999999999999" customHeight="1">
      <c r="N40" s="7"/>
      <c r="O40" s="7"/>
      <c r="P40" s="7"/>
      <c r="Q40" s="7"/>
      <c r="R40" s="7"/>
    </row>
    <row r="41" spans="1:19" ht="19.149999999999999" customHeight="1">
      <c r="N41" s="7"/>
      <c r="O41" s="7"/>
      <c r="P41" s="7"/>
      <c r="Q41" s="7"/>
      <c r="R41" s="7"/>
    </row>
    <row r="42" spans="1:19" ht="19.149999999999999" customHeight="1">
      <c r="N42" s="7"/>
      <c r="O42" s="7"/>
      <c r="P42" s="7"/>
      <c r="Q42" s="7"/>
      <c r="R42" s="7"/>
    </row>
    <row r="43" spans="1:19" ht="19.149999999999999" customHeight="1">
      <c r="N43" s="7"/>
      <c r="O43" s="7"/>
      <c r="P43" s="7"/>
      <c r="Q43" s="7"/>
      <c r="R43" s="7"/>
    </row>
    <row r="44" spans="1:19">
      <c r="N44" s="7"/>
      <c r="O44" s="7"/>
      <c r="P44" s="7"/>
      <c r="Q44" s="7"/>
      <c r="R44" s="7"/>
    </row>
    <row r="45" spans="1:19">
      <c r="N45" s="7"/>
      <c r="O45" s="7"/>
      <c r="P45" s="7"/>
      <c r="Q45" s="7"/>
      <c r="R45" s="7"/>
    </row>
    <row r="46" spans="1:19">
      <c r="N46" s="7"/>
      <c r="O46" s="7"/>
      <c r="P46" s="7"/>
      <c r="Q46" s="7"/>
    </row>
    <row r="47" spans="1:19">
      <c r="N47" s="7"/>
      <c r="O47" s="7"/>
      <c r="P47" s="7"/>
      <c r="Q47" s="7"/>
    </row>
    <row r="48" spans="1:19">
      <c r="N48" s="7"/>
      <c r="O48" s="7"/>
      <c r="P48" s="7"/>
      <c r="Q48" s="7"/>
    </row>
    <row r="49" spans="14:17">
      <c r="N49" s="7"/>
      <c r="O49" s="7"/>
      <c r="P49" s="7"/>
      <c r="Q49" s="7"/>
    </row>
    <row r="50" spans="14:17">
      <c r="N50" s="7"/>
      <c r="O50" s="7"/>
      <c r="P50" s="7"/>
      <c r="Q50" s="7"/>
    </row>
  </sheetData>
  <sheetProtection algorithmName="SHA-512" hashValue="QtutJHQ1+7skwhrLVZe2T198thATRetuy6rC2k1H24YHzErDbPhZUBZ2RiD3gMFhOgH5Te+NQ4oQa/QDkVih5Q==" saltValue="DKdbmGD2cUtzH/97eC4OrQ==" spinCount="100000" sheet="1" objects="1" scenarios="1"/>
  <mergeCells count="36">
    <mergeCell ref="R4:R6"/>
    <mergeCell ref="E12:F12"/>
    <mergeCell ref="E13:F13"/>
    <mergeCell ref="E7:F7"/>
    <mergeCell ref="E8:F8"/>
    <mergeCell ref="G8:L8"/>
    <mergeCell ref="E10:F10"/>
    <mergeCell ref="E11:F11"/>
    <mergeCell ref="E36:F36"/>
    <mergeCell ref="B37:L38"/>
    <mergeCell ref="B26:D26"/>
    <mergeCell ref="C28:D28"/>
    <mergeCell ref="B2:L3"/>
    <mergeCell ref="B4:L6"/>
    <mergeCell ref="E14:F14"/>
    <mergeCell ref="E15:F15"/>
    <mergeCell ref="B8:D8"/>
    <mergeCell ref="C10:D10"/>
    <mergeCell ref="P34:Q34"/>
    <mergeCell ref="E26:F26"/>
    <mergeCell ref="G26:L26"/>
    <mergeCell ref="E28:F28"/>
    <mergeCell ref="E29:F29"/>
    <mergeCell ref="E30:F30"/>
    <mergeCell ref="E31:F31"/>
    <mergeCell ref="E32:F32"/>
    <mergeCell ref="E33:F33"/>
    <mergeCell ref="E16:F16"/>
    <mergeCell ref="E17:F17"/>
    <mergeCell ref="E34:F34"/>
    <mergeCell ref="E35:F35"/>
    <mergeCell ref="B19:L20"/>
    <mergeCell ref="B22:L22"/>
    <mergeCell ref="B23:L23"/>
    <mergeCell ref="B24:L24"/>
    <mergeCell ref="E18:F18"/>
  </mergeCells>
  <hyperlinks>
    <hyperlink ref="B24:L24" r:id="rId1" display="learn more" xr:uid="{B7601372-66EA-4570-AA8A-EE8FAFFE67B6}"/>
    <hyperlink ref="C10:D10" location="'Little QT'!A1" display="See tab for &quot;Little QT&quot;" xr:uid="{1D4FECD1-6FF7-41A0-A775-1149C9FF2647}"/>
    <hyperlink ref="C28:D28" location="'Little QT'!A1" display="See tab for &quot;Little QT&quot;" xr:uid="{D7077318-AFBB-4799-B837-82D74B3D853A}"/>
  </hyperlinks>
  <printOptions horizontalCentered="1"/>
  <pageMargins left="0.25" right="0.25" top="0.75" bottom="0.75" header="0.3" footer="0.3"/>
  <pageSetup paperSize="9" scale="65" orientation="landscape"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13571-6241-4D0B-93FF-CB5C6A6811ED}">
  <sheetPr codeName="Sheet5">
    <pageSetUpPr fitToPage="1"/>
  </sheetPr>
  <dimension ref="A2:P40"/>
  <sheetViews>
    <sheetView showGridLines="0" zoomScaleNormal="100" workbookViewId="0"/>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8" width="10.265625" style="25" customWidth="1"/>
    <col min="9" max="9" width="14.59765625" style="25" bestFit="1" customWidth="1"/>
    <col min="10" max="10" width="3.86328125" style="25" customWidth="1"/>
    <col min="11" max="11" width="31.265625" style="25" bestFit="1" customWidth="1"/>
    <col min="12" max="12" width="8.59765625" style="25" bestFit="1" customWidth="1"/>
    <col min="13" max="13" width="10.265625" style="25" customWidth="1"/>
    <col min="14" max="16384" width="9.265625" style="25"/>
  </cols>
  <sheetData>
    <row r="2" spans="1:16" s="7" customFormat="1" ht="19.149999999999999" customHeight="1" thickBot="1">
      <c r="B2" s="196" t="s">
        <v>73</v>
      </c>
      <c r="C2" s="196"/>
      <c r="D2" s="196"/>
      <c r="E2" s="196"/>
      <c r="F2" s="196"/>
      <c r="G2" s="196"/>
      <c r="H2" s="196"/>
      <c r="I2" s="196"/>
      <c r="K2" s="113" t="s">
        <v>22</v>
      </c>
      <c r="L2" s="113"/>
      <c r="M2" s="11"/>
      <c r="N2" s="11"/>
    </row>
    <row r="3" spans="1:16" ht="19.149999999999999" customHeight="1">
      <c r="B3" s="196"/>
      <c r="C3" s="196"/>
      <c r="D3" s="196"/>
      <c r="E3" s="196"/>
      <c r="F3" s="196"/>
      <c r="G3" s="196"/>
      <c r="H3" s="196"/>
      <c r="I3" s="196"/>
      <c r="K3" s="33" t="s">
        <v>70</v>
      </c>
      <c r="L3" s="33"/>
      <c r="M3" s="12">
        <v>10</v>
      </c>
      <c r="N3" s="7" t="s">
        <v>23</v>
      </c>
      <c r="O3" s="13" t="s">
        <v>24</v>
      </c>
      <c r="P3" s="7"/>
    </row>
    <row r="4" spans="1:16" s="7" customFormat="1" ht="19.149999999999999" customHeight="1">
      <c r="B4" s="214" t="s">
        <v>318</v>
      </c>
      <c r="C4" s="214"/>
      <c r="D4" s="214"/>
      <c r="E4" s="214"/>
      <c r="F4" s="214"/>
      <c r="G4" s="214"/>
      <c r="H4" s="214"/>
      <c r="I4" s="214"/>
      <c r="K4" s="35" t="s">
        <v>26</v>
      </c>
      <c r="L4" s="35"/>
      <c r="M4" s="27">
        <v>1</v>
      </c>
      <c r="N4" s="16" t="s">
        <v>27</v>
      </c>
      <c r="O4" s="198" t="s">
        <v>28</v>
      </c>
    </row>
    <row r="5" spans="1:16" s="7" customFormat="1" ht="19.149999999999999" customHeight="1">
      <c r="B5" s="214"/>
      <c r="C5" s="214"/>
      <c r="D5" s="214"/>
      <c r="E5" s="214"/>
      <c r="F5" s="214"/>
      <c r="G5" s="214"/>
      <c r="H5" s="214"/>
      <c r="I5" s="214"/>
      <c r="K5" s="35" t="s">
        <v>29</v>
      </c>
      <c r="L5" s="35"/>
      <c r="M5" s="27">
        <v>1</v>
      </c>
      <c r="N5" s="16" t="s">
        <v>27</v>
      </c>
      <c r="O5" s="198"/>
    </row>
    <row r="6" spans="1:16" s="7" customFormat="1" ht="19.149999999999999" customHeight="1">
      <c r="B6" s="214"/>
      <c r="C6" s="214"/>
      <c r="D6" s="214"/>
      <c r="E6" s="214"/>
      <c r="F6" s="214"/>
      <c r="G6" s="214"/>
      <c r="H6" s="214"/>
      <c r="I6" s="214"/>
      <c r="K6" s="35" t="s">
        <v>30</v>
      </c>
      <c r="L6" s="35"/>
      <c r="M6" s="27">
        <v>1</v>
      </c>
      <c r="N6" s="16" t="s">
        <v>27</v>
      </c>
      <c r="O6" s="198"/>
    </row>
    <row r="7" spans="1:16" s="9" customFormat="1" ht="34.9" customHeight="1">
      <c r="A7" s="7"/>
      <c r="B7" s="28"/>
      <c r="C7" s="28"/>
      <c r="D7" s="28"/>
      <c r="E7" s="202" t="s">
        <v>31</v>
      </c>
      <c r="F7" s="202"/>
      <c r="G7" s="28"/>
      <c r="H7" s="28"/>
      <c r="I7" s="28"/>
      <c r="K7" s="7"/>
      <c r="L7" s="7"/>
      <c r="M7" s="7"/>
      <c r="N7" s="7"/>
      <c r="O7" s="7"/>
      <c r="P7" s="7"/>
    </row>
    <row r="8" spans="1:16" s="7" customFormat="1" ht="19.350000000000001" customHeight="1">
      <c r="B8" s="212" t="s">
        <v>319</v>
      </c>
      <c r="C8" s="212"/>
      <c r="D8" s="212"/>
      <c r="E8" s="203" t="s">
        <v>32</v>
      </c>
      <c r="F8" s="203"/>
      <c r="G8" s="204" t="s">
        <v>33</v>
      </c>
      <c r="H8" s="204"/>
      <c r="I8" s="204"/>
    </row>
    <row r="9" spans="1:16" s="7" customFormat="1" ht="21.75" customHeight="1" thickBot="1">
      <c r="B9" s="55" t="s">
        <v>34</v>
      </c>
      <c r="C9" s="55" t="s">
        <v>35</v>
      </c>
      <c r="D9" s="55" t="s">
        <v>36</v>
      </c>
      <c r="E9" s="73">
        <f>$M$3</f>
        <v>10</v>
      </c>
      <c r="F9" s="70" t="s">
        <v>37</v>
      </c>
      <c r="G9" s="55" t="s">
        <v>38</v>
      </c>
      <c r="H9" s="55" t="s">
        <v>39</v>
      </c>
      <c r="I9" s="55" t="s">
        <v>74</v>
      </c>
      <c r="K9" s="113" t="s">
        <v>47</v>
      </c>
      <c r="L9" s="32"/>
      <c r="M9" s="106" t="s">
        <v>48</v>
      </c>
      <c r="N9" s="107" t="s">
        <v>49</v>
      </c>
    </row>
    <row r="10" spans="1:16" s="7" customFormat="1" ht="19.350000000000001" customHeight="1">
      <c r="B10" s="138" t="s">
        <v>344</v>
      </c>
      <c r="C10" s="211" t="s">
        <v>343</v>
      </c>
      <c r="D10" s="211"/>
      <c r="E10" s="209"/>
      <c r="F10" s="209"/>
      <c r="G10" s="139"/>
      <c r="H10" s="139"/>
      <c r="I10" s="139"/>
      <c r="K10" s="108" t="s">
        <v>310</v>
      </c>
      <c r="L10" s="18">
        <v>15</v>
      </c>
      <c r="M10" s="17">
        <v>0</v>
      </c>
      <c r="N10" s="18">
        <f t="shared" ref="N10" si="0">L10*M10</f>
        <v>0</v>
      </c>
    </row>
    <row r="11" spans="1:16" s="7" customFormat="1" ht="19.149999999999999" customHeight="1">
      <c r="B11" s="61" t="s">
        <v>52</v>
      </c>
      <c r="C11" s="62">
        <f>165*$M$4</f>
        <v>165</v>
      </c>
      <c r="D11" s="62">
        <f>11.5*$M$5</f>
        <v>11.5</v>
      </c>
      <c r="E11" s="205">
        <f t="shared" ref="E11:E16" si="1">$C11+(($M$3-10)*$D11)+($M$23*$M$6)</f>
        <v>165</v>
      </c>
      <c r="F11" s="205"/>
      <c r="G11" s="62">
        <f t="shared" ref="G11:G16" si="2">$C11+((15-10)*$D11)+($M$23*$M$6)</f>
        <v>222.5</v>
      </c>
      <c r="H11" s="62">
        <f t="shared" ref="H11:H16" si="3">$C11+((20-10)*$D11)+($M$23*$M$6)</f>
        <v>280</v>
      </c>
      <c r="I11" s="62">
        <f t="shared" ref="I11:I16" si="4">$C11+((25-10)*$D11)+($M$23*$M$6)</f>
        <v>337.5</v>
      </c>
      <c r="K11" s="108" t="s">
        <v>51</v>
      </c>
      <c r="L11" s="18">
        <v>0</v>
      </c>
      <c r="M11" s="17">
        <v>0</v>
      </c>
      <c r="N11" s="18">
        <f>L11*M11</f>
        <v>0</v>
      </c>
    </row>
    <row r="12" spans="1:16" s="7" customFormat="1" ht="19.149999999999999" customHeight="1">
      <c r="B12" s="61" t="s">
        <v>54</v>
      </c>
      <c r="C12" s="62">
        <f>235*$M$4</f>
        <v>235</v>
      </c>
      <c r="D12" s="62">
        <f>13*$M$5</f>
        <v>13</v>
      </c>
      <c r="E12" s="205">
        <f t="shared" si="1"/>
        <v>235</v>
      </c>
      <c r="F12" s="205"/>
      <c r="G12" s="62">
        <f t="shared" si="2"/>
        <v>300</v>
      </c>
      <c r="H12" s="62">
        <f t="shared" si="3"/>
        <v>365</v>
      </c>
      <c r="I12" s="62">
        <f t="shared" si="4"/>
        <v>430</v>
      </c>
      <c r="K12" s="108" t="s">
        <v>53</v>
      </c>
      <c r="L12" s="18">
        <v>45</v>
      </c>
      <c r="M12" s="17">
        <v>0</v>
      </c>
      <c r="N12" s="18">
        <f>L12*M12</f>
        <v>0</v>
      </c>
    </row>
    <row r="13" spans="1:16" s="7" customFormat="1" ht="19.149999999999999" customHeight="1">
      <c r="B13" s="71" t="s">
        <v>56</v>
      </c>
      <c r="C13" s="62">
        <f>280*$M$4</f>
        <v>280</v>
      </c>
      <c r="D13" s="62">
        <f>13*$M$5</f>
        <v>13</v>
      </c>
      <c r="E13" s="205">
        <f t="shared" si="1"/>
        <v>280</v>
      </c>
      <c r="F13" s="205"/>
      <c r="G13" s="62">
        <f t="shared" si="2"/>
        <v>345</v>
      </c>
      <c r="H13" s="62">
        <f t="shared" si="3"/>
        <v>410</v>
      </c>
      <c r="I13" s="62">
        <f t="shared" si="4"/>
        <v>475</v>
      </c>
      <c r="K13" s="109" t="s">
        <v>55</v>
      </c>
      <c r="L13" s="18">
        <v>85</v>
      </c>
      <c r="M13" s="17">
        <v>0</v>
      </c>
      <c r="N13" s="18">
        <f t="shared" ref="N13:N21" si="5">L13*M13</f>
        <v>0</v>
      </c>
    </row>
    <row r="14" spans="1:16" s="7" customFormat="1" ht="19.149999999999999" customHeight="1">
      <c r="B14" s="61" t="s">
        <v>58</v>
      </c>
      <c r="C14" s="62">
        <f>310*$M$4</f>
        <v>310</v>
      </c>
      <c r="D14" s="62">
        <f>15*$M$5</f>
        <v>15</v>
      </c>
      <c r="E14" s="205">
        <f t="shared" si="1"/>
        <v>310</v>
      </c>
      <c r="F14" s="205"/>
      <c r="G14" s="62">
        <f t="shared" si="2"/>
        <v>385</v>
      </c>
      <c r="H14" s="62">
        <f t="shared" si="3"/>
        <v>460</v>
      </c>
      <c r="I14" s="62">
        <f t="shared" si="4"/>
        <v>535</v>
      </c>
      <c r="K14" s="109" t="s">
        <v>180</v>
      </c>
      <c r="L14" s="18">
        <v>95</v>
      </c>
      <c r="M14" s="17">
        <v>0</v>
      </c>
      <c r="N14" s="18">
        <f t="shared" si="5"/>
        <v>0</v>
      </c>
    </row>
    <row r="15" spans="1:16" s="7" customFormat="1" ht="19.149999999999999" customHeight="1">
      <c r="B15" s="71" t="s">
        <v>60</v>
      </c>
      <c r="C15" s="62">
        <f>395*$M$4</f>
        <v>395</v>
      </c>
      <c r="D15" s="62">
        <f>17.5*$M$5</f>
        <v>17.5</v>
      </c>
      <c r="E15" s="205">
        <f t="shared" si="1"/>
        <v>395</v>
      </c>
      <c r="F15" s="205"/>
      <c r="G15" s="62">
        <f t="shared" si="2"/>
        <v>482.5</v>
      </c>
      <c r="H15" s="62">
        <f t="shared" si="3"/>
        <v>570</v>
      </c>
      <c r="I15" s="62">
        <f t="shared" si="4"/>
        <v>657.5</v>
      </c>
      <c r="K15" s="108" t="s">
        <v>57</v>
      </c>
      <c r="L15" s="18">
        <v>55</v>
      </c>
      <c r="M15" s="17">
        <v>0</v>
      </c>
      <c r="N15" s="18">
        <f t="shared" si="5"/>
        <v>0</v>
      </c>
    </row>
    <row r="16" spans="1:16" s="7" customFormat="1" ht="19.149999999999999" customHeight="1" thickBot="1">
      <c r="B16" s="74" t="s">
        <v>61</v>
      </c>
      <c r="C16" s="75">
        <f>750*$M$4</f>
        <v>750</v>
      </c>
      <c r="D16" s="75">
        <f>35*$M$5</f>
        <v>35</v>
      </c>
      <c r="E16" s="205">
        <f t="shared" si="1"/>
        <v>750</v>
      </c>
      <c r="F16" s="205"/>
      <c r="G16" s="62">
        <f t="shared" si="2"/>
        <v>925</v>
      </c>
      <c r="H16" s="62">
        <f t="shared" si="3"/>
        <v>1100</v>
      </c>
      <c r="I16" s="62">
        <f t="shared" si="4"/>
        <v>1275</v>
      </c>
      <c r="K16" s="108" t="s">
        <v>181</v>
      </c>
      <c r="L16" s="18">
        <v>18</v>
      </c>
      <c r="M16" s="17">
        <v>0</v>
      </c>
      <c r="N16" s="18">
        <f t="shared" si="5"/>
        <v>0</v>
      </c>
    </row>
    <row r="17" spans="1:15" s="7" customFormat="1" ht="19.149999999999999" customHeight="1">
      <c r="B17" s="213" t="s">
        <v>75</v>
      </c>
      <c r="C17" s="213"/>
      <c r="D17" s="213"/>
      <c r="E17" s="213"/>
      <c r="F17" s="213"/>
      <c r="G17" s="213"/>
      <c r="H17" s="213"/>
      <c r="I17" s="213"/>
      <c r="K17" s="108" t="s">
        <v>62</v>
      </c>
      <c r="L17" s="18">
        <v>18</v>
      </c>
      <c r="M17" s="17">
        <v>0</v>
      </c>
      <c r="N17" s="18">
        <f t="shared" si="5"/>
        <v>0</v>
      </c>
    </row>
    <row r="18" spans="1:15" s="7" customFormat="1" ht="19.149999999999999" customHeight="1">
      <c r="B18" s="201"/>
      <c r="C18" s="201"/>
      <c r="D18" s="201"/>
      <c r="E18" s="201"/>
      <c r="F18" s="201"/>
      <c r="G18" s="201"/>
      <c r="H18" s="201"/>
      <c r="I18" s="201"/>
      <c r="K18" s="108" t="s">
        <v>254</v>
      </c>
      <c r="L18" s="18">
        <v>18</v>
      </c>
      <c r="M18" s="17">
        <v>0</v>
      </c>
      <c r="N18" s="18">
        <f t="shared" si="5"/>
        <v>0</v>
      </c>
    </row>
    <row r="19" spans="1:15" s="7" customFormat="1" ht="19.149999999999999" customHeight="1">
      <c r="K19" s="109" t="s">
        <v>255</v>
      </c>
      <c r="L19" s="18">
        <v>27</v>
      </c>
      <c r="M19" s="17">
        <v>0</v>
      </c>
      <c r="N19" s="18">
        <f t="shared" si="5"/>
        <v>0</v>
      </c>
    </row>
    <row r="20" spans="1:15" s="7" customFormat="1" ht="19.149999999999999" customHeight="1">
      <c r="B20" s="215" t="s">
        <v>63</v>
      </c>
      <c r="C20" s="216"/>
      <c r="D20" s="216"/>
      <c r="E20" s="216"/>
      <c r="F20" s="216"/>
      <c r="G20" s="216"/>
      <c r="H20" s="216"/>
      <c r="I20" s="216"/>
      <c r="K20" s="109" t="s">
        <v>256</v>
      </c>
      <c r="L20" s="18">
        <v>32</v>
      </c>
      <c r="M20" s="17">
        <v>0</v>
      </c>
      <c r="N20" s="18">
        <f t="shared" si="5"/>
        <v>0</v>
      </c>
    </row>
    <row r="21" spans="1:15" s="7" customFormat="1" ht="19.149999999999999" customHeight="1">
      <c r="B21" s="215" t="s">
        <v>72</v>
      </c>
      <c r="C21" s="216"/>
      <c r="D21" s="216"/>
      <c r="E21" s="216"/>
      <c r="F21" s="216"/>
      <c r="G21" s="216"/>
      <c r="H21" s="216"/>
      <c r="I21" s="216"/>
      <c r="K21" s="109" t="s">
        <v>257</v>
      </c>
      <c r="L21" s="18">
        <v>37</v>
      </c>
      <c r="M21" s="17">
        <v>0</v>
      </c>
      <c r="N21" s="18">
        <f t="shared" si="5"/>
        <v>0</v>
      </c>
    </row>
    <row r="22" spans="1:15" s="7" customFormat="1" ht="19.149999999999999" customHeight="1" thickBot="1">
      <c r="B22" s="210" t="s">
        <v>66</v>
      </c>
      <c r="C22" s="210"/>
      <c r="D22" s="210"/>
      <c r="E22" s="210"/>
      <c r="F22" s="210"/>
      <c r="G22" s="210"/>
      <c r="H22" s="210"/>
      <c r="I22" s="210"/>
      <c r="K22" s="111" t="s">
        <v>68</v>
      </c>
      <c r="L22" s="22"/>
      <c r="M22" s="22"/>
      <c r="N22" s="22"/>
    </row>
    <row r="23" spans="1:15" s="7" customFormat="1" ht="19.149999999999999" customHeight="1" thickTop="1">
      <c r="B23" s="25"/>
      <c r="C23" s="25"/>
      <c r="D23" s="25"/>
      <c r="E23" s="25"/>
      <c r="F23" s="25"/>
      <c r="G23" s="25"/>
      <c r="H23" s="25"/>
      <c r="I23" s="25"/>
      <c r="K23" s="23"/>
      <c r="L23" s="20" t="s">
        <v>69</v>
      </c>
      <c r="M23" s="206">
        <f>SUM(N10:N22)</f>
        <v>0</v>
      </c>
      <c r="N23" s="206"/>
    </row>
    <row r="24" spans="1:15" s="7" customFormat="1" ht="19.149999999999999" customHeight="1">
      <c r="B24" s="212" t="s">
        <v>320</v>
      </c>
      <c r="C24" s="212"/>
      <c r="D24" s="212"/>
      <c r="E24" s="203" t="s">
        <v>32</v>
      </c>
      <c r="F24" s="203"/>
      <c r="G24" s="204" t="s">
        <v>33</v>
      </c>
      <c r="H24" s="204"/>
      <c r="I24" s="204"/>
    </row>
    <row r="25" spans="1:15" s="7" customFormat="1" ht="19.149999999999999" customHeight="1" thickBot="1">
      <c r="B25" s="55" t="s">
        <v>34</v>
      </c>
      <c r="C25" s="55" t="s">
        <v>35</v>
      </c>
      <c r="D25" s="55" t="s">
        <v>36</v>
      </c>
      <c r="E25" s="73">
        <f>$M$3</f>
        <v>10</v>
      </c>
      <c r="F25" s="70" t="s">
        <v>37</v>
      </c>
      <c r="G25" s="55" t="s">
        <v>38</v>
      </c>
      <c r="H25" s="55" t="s">
        <v>39</v>
      </c>
      <c r="I25" s="55" t="s">
        <v>74</v>
      </c>
    </row>
    <row r="26" spans="1:15" s="7" customFormat="1" ht="19.149999999999999" customHeight="1">
      <c r="B26" s="138" t="s">
        <v>344</v>
      </c>
      <c r="C26" s="211" t="s">
        <v>343</v>
      </c>
      <c r="D26" s="211"/>
      <c r="E26" s="209"/>
      <c r="F26" s="209"/>
      <c r="G26" s="139"/>
      <c r="H26" s="139"/>
      <c r="I26" s="139"/>
    </row>
    <row r="27" spans="1:15" s="7" customFormat="1" ht="19.149999999999999" customHeight="1">
      <c r="B27" s="61" t="s">
        <v>52</v>
      </c>
      <c r="C27" s="62">
        <f>200*$M$4</f>
        <v>200</v>
      </c>
      <c r="D27" s="62">
        <f>13.5*$M$5</f>
        <v>13.5</v>
      </c>
      <c r="E27" s="205">
        <f t="shared" ref="E27:E32" si="6">$C27+(($M$3-10)*$D27)+($M$23*$M$6)</f>
        <v>200</v>
      </c>
      <c r="F27" s="205"/>
      <c r="G27" s="62">
        <f t="shared" ref="G27:G32" si="7">$C27+((15-10)*$D27)+($M$23*$M$6)</f>
        <v>267.5</v>
      </c>
      <c r="H27" s="62">
        <f t="shared" ref="H27:H32" si="8">$C27+((20-10)*$D27)+($M$23*$M$6)</f>
        <v>335</v>
      </c>
      <c r="I27" s="62">
        <f t="shared" ref="I27:I32" si="9">$C27+((25-10)*$D27)+($M$23*$M$6)</f>
        <v>402.5</v>
      </c>
    </row>
    <row r="28" spans="1:15" s="7" customFormat="1" ht="19.149999999999999" customHeight="1">
      <c r="B28" s="61" t="s">
        <v>54</v>
      </c>
      <c r="C28" s="62">
        <f>310*$M$4</f>
        <v>310</v>
      </c>
      <c r="D28" s="62">
        <f>15*$M$5</f>
        <v>15</v>
      </c>
      <c r="E28" s="205">
        <f t="shared" si="6"/>
        <v>310</v>
      </c>
      <c r="F28" s="205"/>
      <c r="G28" s="62">
        <f t="shared" si="7"/>
        <v>385</v>
      </c>
      <c r="H28" s="62">
        <f t="shared" si="8"/>
        <v>460</v>
      </c>
      <c r="I28" s="62">
        <f t="shared" si="9"/>
        <v>535</v>
      </c>
    </row>
    <row r="29" spans="1:15" s="7" customFormat="1" ht="19.149999999999999" customHeight="1">
      <c r="B29" s="71" t="s">
        <v>56</v>
      </c>
      <c r="C29" s="62">
        <f>345*$M$4</f>
        <v>345</v>
      </c>
      <c r="D29" s="62">
        <f>17*$M$5</f>
        <v>17</v>
      </c>
      <c r="E29" s="205">
        <f t="shared" si="6"/>
        <v>345</v>
      </c>
      <c r="F29" s="205"/>
      <c r="G29" s="62">
        <f t="shared" si="7"/>
        <v>430</v>
      </c>
      <c r="H29" s="62">
        <f t="shared" si="8"/>
        <v>515</v>
      </c>
      <c r="I29" s="62">
        <f t="shared" si="9"/>
        <v>600</v>
      </c>
    </row>
    <row r="30" spans="1:15" s="7" customFormat="1" ht="19.149999999999999" customHeight="1">
      <c r="B30" s="61" t="s">
        <v>58</v>
      </c>
      <c r="C30" s="62">
        <f>360*$M$4</f>
        <v>360</v>
      </c>
      <c r="D30" s="62">
        <f>18*$M$5</f>
        <v>18</v>
      </c>
      <c r="E30" s="205">
        <f t="shared" si="6"/>
        <v>360</v>
      </c>
      <c r="F30" s="205"/>
      <c r="G30" s="62">
        <f t="shared" si="7"/>
        <v>450</v>
      </c>
      <c r="H30" s="62">
        <f t="shared" si="8"/>
        <v>540</v>
      </c>
      <c r="I30" s="62">
        <f t="shared" si="9"/>
        <v>630</v>
      </c>
    </row>
    <row r="31" spans="1:15" s="7" customFormat="1" ht="19.149999999999999" customHeight="1">
      <c r="B31" s="71" t="s">
        <v>60</v>
      </c>
      <c r="C31" s="62">
        <f>445*$M$4</f>
        <v>445</v>
      </c>
      <c r="D31" s="62">
        <f>22*$M$5</f>
        <v>22</v>
      </c>
      <c r="E31" s="205">
        <f t="shared" si="6"/>
        <v>445</v>
      </c>
      <c r="F31" s="205"/>
      <c r="G31" s="62">
        <f t="shared" si="7"/>
        <v>555</v>
      </c>
      <c r="H31" s="62">
        <f t="shared" si="8"/>
        <v>665</v>
      </c>
      <c r="I31" s="62">
        <f t="shared" si="9"/>
        <v>775</v>
      </c>
    </row>
    <row r="32" spans="1:15" ht="19.149999999999999" customHeight="1" thickBot="1">
      <c r="A32" s="7"/>
      <c r="B32" s="74" t="s">
        <v>61</v>
      </c>
      <c r="C32" s="75">
        <f>750*$M$4</f>
        <v>750</v>
      </c>
      <c r="D32" s="75">
        <f>35*$M$5</f>
        <v>35</v>
      </c>
      <c r="E32" s="205">
        <f t="shared" si="6"/>
        <v>750</v>
      </c>
      <c r="F32" s="205"/>
      <c r="G32" s="62">
        <f t="shared" si="7"/>
        <v>925</v>
      </c>
      <c r="H32" s="62">
        <f t="shared" si="8"/>
        <v>1100</v>
      </c>
      <c r="I32" s="62">
        <f t="shared" si="9"/>
        <v>1275</v>
      </c>
      <c r="J32" s="7"/>
      <c r="K32" s="7"/>
      <c r="L32" s="7"/>
      <c r="M32" s="7"/>
      <c r="N32" s="7"/>
      <c r="O32" s="7"/>
    </row>
    <row r="33" spans="1:15" ht="19.149999999999999" customHeight="1">
      <c r="A33" s="7"/>
      <c r="B33" s="213" t="s">
        <v>75</v>
      </c>
      <c r="C33" s="213"/>
      <c r="D33" s="213"/>
      <c r="E33" s="213"/>
      <c r="F33" s="213"/>
      <c r="G33" s="213"/>
      <c r="H33" s="213"/>
      <c r="I33" s="213"/>
      <c r="J33" s="7"/>
      <c r="K33" s="7"/>
      <c r="L33" s="7"/>
      <c r="M33" s="7"/>
      <c r="N33" s="7"/>
      <c r="O33" s="7"/>
    </row>
    <row r="34" spans="1:15" ht="19.149999999999999" customHeight="1">
      <c r="A34" s="7"/>
      <c r="B34" s="201"/>
      <c r="C34" s="201"/>
      <c r="D34" s="201"/>
      <c r="E34" s="201"/>
      <c r="F34" s="201"/>
      <c r="G34" s="201"/>
      <c r="H34" s="201"/>
      <c r="I34" s="201"/>
      <c r="J34" s="7"/>
      <c r="K34" s="7"/>
      <c r="L34" s="7"/>
      <c r="M34" s="7"/>
      <c r="N34" s="7"/>
      <c r="O34" s="7"/>
    </row>
    <row r="35" spans="1:15" ht="19.149999999999999" customHeight="1">
      <c r="K35" s="7"/>
      <c r="L35" s="7"/>
      <c r="M35" s="7"/>
      <c r="N35" s="7"/>
      <c r="O35" s="7"/>
    </row>
    <row r="36" spans="1:15" ht="19.149999999999999" customHeight="1">
      <c r="K36" s="7"/>
      <c r="L36" s="7"/>
      <c r="M36" s="7"/>
      <c r="N36" s="7"/>
      <c r="O36" s="7"/>
    </row>
    <row r="37" spans="1:15" ht="19.149999999999999" customHeight="1"/>
    <row r="38" spans="1:15" ht="19.149999999999999" customHeight="1"/>
    <row r="39" spans="1:15" ht="19.149999999999999" customHeight="1"/>
    <row r="40" spans="1:15" ht="19.149999999999999" customHeight="1"/>
  </sheetData>
  <sheetProtection algorithmName="SHA-512" hashValue="WUXOPOxlCSHFLl42E4xXiGCv/UCXirY2yUOh3fxWRTRi75VSF1VPJ0XBtwCacX20wbhqdKd8pPS6qbkQsJ0xIQ==" saltValue="k7UaINMdCBC1Grn3/CfkdA==" spinCount="100000" sheet="1" objects="1" scenarios="1"/>
  <mergeCells count="32">
    <mergeCell ref="O4:O6"/>
    <mergeCell ref="E13:F13"/>
    <mergeCell ref="E15:F15"/>
    <mergeCell ref="E7:F7"/>
    <mergeCell ref="E8:F8"/>
    <mergeCell ref="G8:I8"/>
    <mergeCell ref="M23:N23"/>
    <mergeCell ref="E11:F11"/>
    <mergeCell ref="E14:F14"/>
    <mergeCell ref="B2:I3"/>
    <mergeCell ref="B4:I6"/>
    <mergeCell ref="E16:F16"/>
    <mergeCell ref="B17:I18"/>
    <mergeCell ref="B20:I20"/>
    <mergeCell ref="B21:I21"/>
    <mergeCell ref="B22:I22"/>
    <mergeCell ref="E10:F10"/>
    <mergeCell ref="E12:F12"/>
    <mergeCell ref="B8:D8"/>
    <mergeCell ref="C10:D10"/>
    <mergeCell ref="B33:I34"/>
    <mergeCell ref="E24:F24"/>
    <mergeCell ref="G24:I24"/>
    <mergeCell ref="E26:F26"/>
    <mergeCell ref="E27:F27"/>
    <mergeCell ref="E28:F28"/>
    <mergeCell ref="B24:D24"/>
    <mergeCell ref="E29:F29"/>
    <mergeCell ref="E30:F30"/>
    <mergeCell ref="E31:F31"/>
    <mergeCell ref="E32:F32"/>
    <mergeCell ref="C26:D26"/>
  </mergeCells>
  <hyperlinks>
    <hyperlink ref="B22:I22" r:id="rId1" display="learn more" xr:uid="{207F2A45-54AF-43FE-AB8F-FA4DC3556D40}"/>
    <hyperlink ref="C10:D10" location="'Little QT'!A1" display="See tab for &quot;Little QT&quot;" xr:uid="{182D56D8-C07A-458B-A5D4-22F647610774}"/>
    <hyperlink ref="C26:D26" location="'Little QT'!A1" display="See tab for &quot;Little QT&quot;" xr:uid="{537D6DF8-5084-4D0E-83DE-8F718CD7C3AA}"/>
  </hyperlinks>
  <printOptions horizontalCentered="1"/>
  <pageMargins left="0.25" right="0.25" top="0.75" bottom="0.75" header="0.3" footer="0.3"/>
  <pageSetup paperSize="9" scale="84" orientation="landscape"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087D7-7B23-4820-8049-A773EDB2D8B7}">
  <sheetPr codeName="Sheet6">
    <pageSetUpPr fitToPage="1"/>
  </sheetPr>
  <dimension ref="A2:T55"/>
  <sheetViews>
    <sheetView showGridLines="0" workbookViewId="0">
      <selection activeCell="C19" sqref="C19:D19"/>
    </sheetView>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13" width="10.265625" style="25" customWidth="1"/>
    <col min="14" max="14" width="3.86328125" style="25" customWidth="1"/>
    <col min="15" max="15" width="31.265625" style="25" bestFit="1" customWidth="1"/>
    <col min="16" max="16" width="8.59765625" style="25" bestFit="1" customWidth="1"/>
    <col min="17" max="17" width="10.265625" style="25" customWidth="1"/>
    <col min="18" max="16384" width="9.265625" style="25"/>
  </cols>
  <sheetData>
    <row r="2" spans="2:20" s="7" customFormat="1" ht="19.149999999999999" customHeight="1" thickBot="1">
      <c r="B2" s="196" t="s">
        <v>76</v>
      </c>
      <c r="C2" s="196"/>
      <c r="D2" s="196"/>
      <c r="E2" s="196"/>
      <c r="F2" s="196"/>
      <c r="G2" s="196"/>
      <c r="H2" s="196"/>
      <c r="I2" s="196"/>
      <c r="J2" s="196"/>
      <c r="K2" s="196"/>
      <c r="L2" s="196"/>
      <c r="M2" s="196"/>
      <c r="O2" s="113" t="s">
        <v>22</v>
      </c>
      <c r="P2" s="113"/>
      <c r="Q2" s="11"/>
      <c r="R2" s="11"/>
    </row>
    <row r="3" spans="2:20" s="7" customFormat="1" ht="19.149999999999999" customHeight="1">
      <c r="B3" s="196"/>
      <c r="C3" s="196"/>
      <c r="D3" s="196"/>
      <c r="E3" s="196"/>
      <c r="F3" s="196"/>
      <c r="G3" s="196"/>
      <c r="H3" s="196"/>
      <c r="I3" s="196"/>
      <c r="J3" s="196"/>
      <c r="K3" s="196"/>
      <c r="L3" s="196"/>
      <c r="M3" s="196"/>
      <c r="O3" s="33" t="s">
        <v>70</v>
      </c>
      <c r="P3" s="33"/>
      <c r="Q3" s="12">
        <v>10</v>
      </c>
      <c r="R3" s="7" t="s">
        <v>23</v>
      </c>
      <c r="S3" s="13" t="s">
        <v>24</v>
      </c>
    </row>
    <row r="4" spans="2:20" s="7" customFormat="1" ht="19.149999999999999" customHeight="1">
      <c r="B4" s="197" t="s">
        <v>413</v>
      </c>
      <c r="C4" s="197"/>
      <c r="D4" s="197"/>
      <c r="E4" s="197"/>
      <c r="F4" s="197"/>
      <c r="G4" s="197"/>
      <c r="H4" s="197"/>
      <c r="I4" s="197"/>
      <c r="J4" s="197"/>
      <c r="K4" s="197"/>
      <c r="L4" s="197"/>
      <c r="M4" s="197"/>
      <c r="O4" s="35" t="s">
        <v>26</v>
      </c>
      <c r="P4" s="35"/>
      <c r="Q4" s="27">
        <v>1</v>
      </c>
      <c r="R4" s="16" t="s">
        <v>27</v>
      </c>
      <c r="S4" s="198" t="s">
        <v>28</v>
      </c>
    </row>
    <row r="5" spans="2:20" s="7" customFormat="1" ht="19.149999999999999" customHeight="1">
      <c r="B5" s="197"/>
      <c r="C5" s="197"/>
      <c r="D5" s="197"/>
      <c r="E5" s="197"/>
      <c r="F5" s="197"/>
      <c r="G5" s="197"/>
      <c r="H5" s="197"/>
      <c r="I5" s="197"/>
      <c r="J5" s="197"/>
      <c r="K5" s="197"/>
      <c r="L5" s="197"/>
      <c r="M5" s="197"/>
      <c r="O5" s="35" t="s">
        <v>29</v>
      </c>
      <c r="P5" s="35"/>
      <c r="Q5" s="27">
        <v>1</v>
      </c>
      <c r="R5" s="16" t="s">
        <v>27</v>
      </c>
      <c r="S5" s="198"/>
    </row>
    <row r="6" spans="2:20" s="7" customFormat="1" ht="19.149999999999999" customHeight="1">
      <c r="B6" s="197"/>
      <c r="C6" s="197"/>
      <c r="D6" s="197"/>
      <c r="E6" s="197"/>
      <c r="F6" s="197"/>
      <c r="G6" s="197"/>
      <c r="H6" s="197"/>
      <c r="I6" s="197"/>
      <c r="J6" s="197"/>
      <c r="K6" s="197"/>
      <c r="L6" s="197"/>
      <c r="M6" s="197"/>
      <c r="O6" s="35" t="s">
        <v>30</v>
      </c>
      <c r="P6" s="35"/>
      <c r="Q6" s="27">
        <v>1</v>
      </c>
      <c r="R6" s="16" t="s">
        <v>27</v>
      </c>
      <c r="S6" s="198"/>
    </row>
    <row r="7" spans="2:20" s="7" customFormat="1" ht="19.149999999999999" customHeight="1">
      <c r="B7" s="217" t="s">
        <v>77</v>
      </c>
      <c r="C7" s="217"/>
      <c r="D7" s="217"/>
      <c r="E7" s="217"/>
      <c r="F7" s="217"/>
      <c r="G7" s="217"/>
      <c r="H7" s="217"/>
      <c r="I7" s="217"/>
      <c r="J7" s="217"/>
      <c r="K7" s="217"/>
      <c r="L7" s="217"/>
      <c r="M7" s="217"/>
      <c r="O7" s="34"/>
      <c r="P7" s="34"/>
      <c r="Q7" s="81"/>
      <c r="R7" s="16"/>
      <c r="S7" s="13"/>
    </row>
    <row r="8" spans="2:20" s="9" customFormat="1" ht="34.9" customHeight="1">
      <c r="B8" s="8"/>
      <c r="C8" s="8"/>
      <c r="D8" s="8"/>
      <c r="E8" s="202" t="s">
        <v>31</v>
      </c>
      <c r="F8" s="202"/>
      <c r="G8" s="8"/>
      <c r="H8" s="8"/>
      <c r="I8" s="8"/>
      <c r="J8" s="8"/>
      <c r="K8" s="8"/>
      <c r="L8" s="8"/>
      <c r="M8" s="8"/>
      <c r="O8" s="7"/>
      <c r="P8" s="7"/>
      <c r="Q8" s="7"/>
      <c r="R8" s="7"/>
      <c r="S8" s="7"/>
      <c r="T8" s="7"/>
    </row>
    <row r="9" spans="2:20" s="7" customFormat="1" ht="19.149999999999999" customHeight="1">
      <c r="E9" s="203" t="s">
        <v>32</v>
      </c>
      <c r="F9" s="203"/>
      <c r="G9" s="204" t="s">
        <v>33</v>
      </c>
      <c r="H9" s="204"/>
      <c r="I9" s="204"/>
      <c r="J9" s="204"/>
      <c r="K9" s="204"/>
      <c r="L9" s="204"/>
      <c r="M9" s="204"/>
    </row>
    <row r="10" spans="2:20" s="7" customFormat="1" ht="38.65" customHeight="1" thickBot="1">
      <c r="B10" s="55" t="s">
        <v>34</v>
      </c>
      <c r="C10" s="55" t="s">
        <v>35</v>
      </c>
      <c r="D10" s="55" t="s">
        <v>36</v>
      </c>
      <c r="E10" s="56">
        <f>Q3</f>
        <v>10</v>
      </c>
      <c r="F10" s="57" t="s">
        <v>37</v>
      </c>
      <c r="G10" s="55" t="s">
        <v>38</v>
      </c>
      <c r="H10" s="55" t="s">
        <v>39</v>
      </c>
      <c r="I10" s="55" t="s">
        <v>40</v>
      </c>
      <c r="J10" s="70" t="s">
        <v>78</v>
      </c>
      <c r="K10" s="55" t="s">
        <v>43</v>
      </c>
      <c r="L10" s="55" t="s">
        <v>45</v>
      </c>
      <c r="M10" s="70" t="s">
        <v>79</v>
      </c>
      <c r="O10" s="113" t="s">
        <v>47</v>
      </c>
      <c r="P10" s="113"/>
      <c r="Q10" s="106" t="s">
        <v>48</v>
      </c>
      <c r="R10" s="107" t="s">
        <v>49</v>
      </c>
    </row>
    <row r="11" spans="2:20" s="7" customFormat="1" ht="19.350000000000001" customHeight="1">
      <c r="B11" s="138" t="s">
        <v>344</v>
      </c>
      <c r="C11" s="211" t="s">
        <v>343</v>
      </c>
      <c r="D11" s="211"/>
      <c r="E11" s="209"/>
      <c r="F11" s="209"/>
      <c r="G11" s="139"/>
      <c r="H11" s="139"/>
      <c r="I11" s="139"/>
      <c r="J11" s="139"/>
      <c r="K11" s="139"/>
      <c r="L11" s="139"/>
      <c r="M11" s="139"/>
      <c r="O11" s="108" t="s">
        <v>51</v>
      </c>
      <c r="P11" s="18">
        <v>13</v>
      </c>
      <c r="Q11" s="17">
        <v>0</v>
      </c>
      <c r="R11" s="18">
        <f t="shared" ref="R11:R31" si="0">P11*Q11</f>
        <v>0</v>
      </c>
    </row>
    <row r="12" spans="2:20" s="7" customFormat="1" ht="19.149999999999999" customHeight="1">
      <c r="B12" s="61" t="s">
        <v>52</v>
      </c>
      <c r="C12" s="62">
        <f>90*$Q$4</f>
        <v>90</v>
      </c>
      <c r="D12" s="62">
        <f>5.5*$Q$5</f>
        <v>5.5</v>
      </c>
      <c r="E12" s="205">
        <f t="shared" ref="E12:E19" si="1">C12+(($Q$3-10)*D12)+($Q$36*$Q$6)</f>
        <v>90</v>
      </c>
      <c r="F12" s="205"/>
      <c r="G12" s="62">
        <f t="shared" ref="G12:G19" si="2">C12+((15-10)*D12)+($Q$36*$Q$6)</f>
        <v>117.5</v>
      </c>
      <c r="H12" s="62">
        <f t="shared" ref="H12:H19" si="3">C12+((20-10)*D12)+($Q$36*$Q$6)</f>
        <v>145</v>
      </c>
      <c r="I12" s="62">
        <f t="shared" ref="I12:I19" si="4">C12+((25-10)*D12)+($Q$36*$Q$6)</f>
        <v>172.5</v>
      </c>
      <c r="J12" s="62">
        <f t="shared" ref="J12:J19" si="5">C12+((30-10)*D12)+($Q$36*$Q$6)</f>
        <v>200</v>
      </c>
      <c r="K12" s="62">
        <f t="shared" ref="K12:K19" si="6">C12+((40-10)*D12)+($Q$36*$Q$6)</f>
        <v>255</v>
      </c>
      <c r="L12" s="62">
        <f t="shared" ref="L12:L19" si="7">C12+((50-10)*D12)+($Q$36*$Q$6)</f>
        <v>310</v>
      </c>
      <c r="M12" s="62">
        <f t="shared" ref="M12:M19" si="8">C12+((55-10)*D12)+($Q$36*$Q$6)</f>
        <v>337.5</v>
      </c>
      <c r="O12" s="108" t="s">
        <v>53</v>
      </c>
      <c r="P12" s="18">
        <v>45</v>
      </c>
      <c r="Q12" s="17">
        <v>0</v>
      </c>
      <c r="R12" s="18">
        <f t="shared" si="0"/>
        <v>0</v>
      </c>
    </row>
    <row r="13" spans="2:20" s="7" customFormat="1" ht="19.149999999999999" customHeight="1">
      <c r="B13" s="61" t="s">
        <v>54</v>
      </c>
      <c r="C13" s="62">
        <f>95*$Q$4</f>
        <v>95</v>
      </c>
      <c r="D13" s="62">
        <f>6*$Q$5</f>
        <v>6</v>
      </c>
      <c r="E13" s="205">
        <f t="shared" si="1"/>
        <v>95</v>
      </c>
      <c r="F13" s="205"/>
      <c r="G13" s="62">
        <f t="shared" si="2"/>
        <v>125</v>
      </c>
      <c r="H13" s="62">
        <f t="shared" si="3"/>
        <v>155</v>
      </c>
      <c r="I13" s="62">
        <f t="shared" si="4"/>
        <v>185</v>
      </c>
      <c r="J13" s="62">
        <f t="shared" si="5"/>
        <v>215</v>
      </c>
      <c r="K13" s="62">
        <f t="shared" si="6"/>
        <v>275</v>
      </c>
      <c r="L13" s="62">
        <f t="shared" si="7"/>
        <v>335</v>
      </c>
      <c r="M13" s="62">
        <f t="shared" si="8"/>
        <v>365</v>
      </c>
      <c r="O13" s="109" t="s">
        <v>55</v>
      </c>
      <c r="P13" s="18">
        <v>85</v>
      </c>
      <c r="Q13" s="17">
        <v>0</v>
      </c>
      <c r="R13" s="18">
        <f t="shared" si="0"/>
        <v>0</v>
      </c>
    </row>
    <row r="14" spans="2:20" s="7" customFormat="1" ht="19.149999999999999" customHeight="1">
      <c r="B14" s="71" t="s">
        <v>56</v>
      </c>
      <c r="C14" s="62">
        <f>105*$Q$4</f>
        <v>105</v>
      </c>
      <c r="D14" s="62">
        <f>6.5*$Q$5</f>
        <v>6.5</v>
      </c>
      <c r="E14" s="205">
        <f t="shared" si="1"/>
        <v>105</v>
      </c>
      <c r="F14" s="205"/>
      <c r="G14" s="62">
        <f t="shared" si="2"/>
        <v>137.5</v>
      </c>
      <c r="H14" s="62">
        <f t="shared" si="3"/>
        <v>170</v>
      </c>
      <c r="I14" s="62">
        <f t="shared" si="4"/>
        <v>202.5</v>
      </c>
      <c r="J14" s="62">
        <f t="shared" si="5"/>
        <v>235</v>
      </c>
      <c r="K14" s="62">
        <f t="shared" si="6"/>
        <v>300</v>
      </c>
      <c r="L14" s="62">
        <f t="shared" si="7"/>
        <v>365</v>
      </c>
      <c r="M14" s="62">
        <f t="shared" si="8"/>
        <v>397.5</v>
      </c>
      <c r="O14" s="109" t="s">
        <v>180</v>
      </c>
      <c r="P14" s="18">
        <v>95</v>
      </c>
      <c r="Q14" s="17">
        <v>0</v>
      </c>
      <c r="R14" s="18">
        <f t="shared" si="0"/>
        <v>0</v>
      </c>
    </row>
    <row r="15" spans="2:20" s="7" customFormat="1" ht="19.149999999999999" customHeight="1">
      <c r="B15" s="61" t="s">
        <v>58</v>
      </c>
      <c r="C15" s="62">
        <f>105*$Q$4</f>
        <v>105</v>
      </c>
      <c r="D15" s="62">
        <f>6.5*$Q$5</f>
        <v>6.5</v>
      </c>
      <c r="E15" s="205">
        <f t="shared" si="1"/>
        <v>105</v>
      </c>
      <c r="F15" s="205"/>
      <c r="G15" s="62">
        <f t="shared" si="2"/>
        <v>137.5</v>
      </c>
      <c r="H15" s="62">
        <f t="shared" si="3"/>
        <v>170</v>
      </c>
      <c r="I15" s="62">
        <f t="shared" si="4"/>
        <v>202.5</v>
      </c>
      <c r="J15" s="62">
        <f t="shared" si="5"/>
        <v>235</v>
      </c>
      <c r="K15" s="62">
        <f t="shared" si="6"/>
        <v>300</v>
      </c>
      <c r="L15" s="62">
        <f t="shared" si="7"/>
        <v>365</v>
      </c>
      <c r="M15" s="62">
        <f t="shared" si="8"/>
        <v>397.5</v>
      </c>
      <c r="O15" s="108" t="s">
        <v>57</v>
      </c>
      <c r="P15" s="18">
        <v>55</v>
      </c>
      <c r="Q15" s="17">
        <v>0</v>
      </c>
      <c r="R15" s="18">
        <f t="shared" si="0"/>
        <v>0</v>
      </c>
    </row>
    <row r="16" spans="2:20" s="7" customFormat="1" ht="19.149999999999999" customHeight="1">
      <c r="B16" s="71" t="s">
        <v>60</v>
      </c>
      <c r="C16" s="62">
        <f>125*$Q$4</f>
        <v>125</v>
      </c>
      <c r="D16" s="62">
        <f>8*$Q$5</f>
        <v>8</v>
      </c>
      <c r="E16" s="205">
        <f t="shared" si="1"/>
        <v>125</v>
      </c>
      <c r="F16" s="205"/>
      <c r="G16" s="62">
        <f t="shared" si="2"/>
        <v>165</v>
      </c>
      <c r="H16" s="62">
        <f t="shared" si="3"/>
        <v>205</v>
      </c>
      <c r="I16" s="62">
        <f t="shared" si="4"/>
        <v>245</v>
      </c>
      <c r="J16" s="62">
        <f t="shared" si="5"/>
        <v>285</v>
      </c>
      <c r="K16" s="62">
        <f t="shared" si="6"/>
        <v>365</v>
      </c>
      <c r="L16" s="62">
        <f t="shared" si="7"/>
        <v>445</v>
      </c>
      <c r="M16" s="62">
        <f t="shared" si="8"/>
        <v>485</v>
      </c>
      <c r="O16" s="108" t="s">
        <v>181</v>
      </c>
      <c r="P16" s="18">
        <v>18</v>
      </c>
      <c r="Q16" s="17">
        <v>0</v>
      </c>
      <c r="R16" s="18">
        <f t="shared" si="0"/>
        <v>0</v>
      </c>
    </row>
    <row r="17" spans="1:20" s="7" customFormat="1" ht="19.149999999999999" customHeight="1">
      <c r="B17" s="71" t="s">
        <v>411</v>
      </c>
      <c r="C17" s="62">
        <f>150*$Q$4</f>
        <v>150</v>
      </c>
      <c r="D17" s="62">
        <f>10*$Q$5</f>
        <v>10</v>
      </c>
      <c r="E17" s="205">
        <f t="shared" ref="E17:E18" si="9">C17+(($Q$3-10)*D17)+($Q$36*$Q$6)</f>
        <v>150</v>
      </c>
      <c r="F17" s="205"/>
      <c r="G17" s="62">
        <f t="shared" ref="G17:G18" si="10">C17+((15-10)*D17)+($Q$36*$Q$6)</f>
        <v>200</v>
      </c>
      <c r="H17" s="62">
        <f t="shared" ref="H17:H18" si="11">C17+((20-10)*D17)+($Q$36*$Q$6)</f>
        <v>250</v>
      </c>
      <c r="I17" s="62">
        <f t="shared" ref="I17:I18" si="12">C17+((25-10)*D17)+($Q$36*$Q$6)</f>
        <v>300</v>
      </c>
      <c r="J17" s="62">
        <f t="shared" ref="J17:J18" si="13">C17+((30-10)*D17)+($Q$36*$Q$6)</f>
        <v>350</v>
      </c>
      <c r="K17" s="62">
        <f t="shared" ref="K17:K18" si="14">C17+((40-10)*D17)+($Q$36*$Q$6)</f>
        <v>450</v>
      </c>
      <c r="L17" s="62">
        <f t="shared" ref="L17:L18" si="15">C17+((50-10)*D17)+($Q$36*$Q$6)</f>
        <v>550</v>
      </c>
      <c r="M17" s="62">
        <f t="shared" ref="M17:M18" si="16">C17+((55-10)*D17)+($Q$36*$Q$6)</f>
        <v>600</v>
      </c>
      <c r="O17" s="110" t="s">
        <v>260</v>
      </c>
      <c r="P17" s="18">
        <v>25</v>
      </c>
      <c r="Q17" s="17">
        <v>0</v>
      </c>
      <c r="R17" s="18">
        <f t="shared" ref="R17:R18" si="17">P17*Q17</f>
        <v>0</v>
      </c>
    </row>
    <row r="18" spans="1:20" s="7" customFormat="1" ht="19.149999999999999" customHeight="1">
      <c r="B18" s="71" t="s">
        <v>412</v>
      </c>
      <c r="C18" s="62">
        <f>175*$Q$4</f>
        <v>175</v>
      </c>
      <c r="D18" s="62">
        <f>12*$Q$5</f>
        <v>12</v>
      </c>
      <c r="E18" s="205">
        <f t="shared" si="9"/>
        <v>175</v>
      </c>
      <c r="F18" s="205"/>
      <c r="G18" s="62">
        <f t="shared" si="10"/>
        <v>235</v>
      </c>
      <c r="H18" s="62">
        <f t="shared" si="11"/>
        <v>295</v>
      </c>
      <c r="I18" s="62">
        <f t="shared" si="12"/>
        <v>355</v>
      </c>
      <c r="J18" s="62">
        <f t="shared" si="13"/>
        <v>415</v>
      </c>
      <c r="K18" s="62">
        <f t="shared" si="14"/>
        <v>535</v>
      </c>
      <c r="L18" s="62">
        <f t="shared" si="15"/>
        <v>655</v>
      </c>
      <c r="M18" s="62">
        <f t="shared" si="16"/>
        <v>715</v>
      </c>
      <c r="O18" s="110" t="s">
        <v>261</v>
      </c>
      <c r="P18" s="18">
        <v>25</v>
      </c>
      <c r="Q18" s="17">
        <v>0</v>
      </c>
      <c r="R18" s="18">
        <f t="shared" si="17"/>
        <v>0</v>
      </c>
    </row>
    <row r="19" spans="1:20" s="7" customFormat="1" ht="19.149999999999999" customHeight="1" thickBot="1">
      <c r="B19" s="72" t="s">
        <v>61</v>
      </c>
      <c r="C19" s="69">
        <f>275*$Q$4</f>
        <v>275</v>
      </c>
      <c r="D19" s="69">
        <f>14*$Q$5</f>
        <v>14</v>
      </c>
      <c r="E19" s="199">
        <f t="shared" si="1"/>
        <v>275</v>
      </c>
      <c r="F19" s="199"/>
      <c r="G19" s="69">
        <f t="shared" si="2"/>
        <v>345</v>
      </c>
      <c r="H19" s="69">
        <f t="shared" si="3"/>
        <v>415</v>
      </c>
      <c r="I19" s="69">
        <f t="shared" si="4"/>
        <v>485</v>
      </c>
      <c r="J19" s="69">
        <f t="shared" si="5"/>
        <v>555</v>
      </c>
      <c r="K19" s="62">
        <f t="shared" si="6"/>
        <v>695</v>
      </c>
      <c r="L19" s="62">
        <f t="shared" si="7"/>
        <v>835</v>
      </c>
      <c r="M19" s="62">
        <f t="shared" si="8"/>
        <v>905</v>
      </c>
      <c r="O19" s="110" t="s">
        <v>59</v>
      </c>
      <c r="P19" s="18">
        <v>45</v>
      </c>
      <c r="Q19" s="17">
        <v>0</v>
      </c>
      <c r="R19" s="18">
        <f t="shared" si="0"/>
        <v>0</v>
      </c>
    </row>
    <row r="20" spans="1:20" s="7" customFormat="1" ht="19.149999999999999" customHeight="1">
      <c r="B20" s="200" t="s">
        <v>414</v>
      </c>
      <c r="C20" s="200"/>
      <c r="D20" s="200"/>
      <c r="E20" s="200"/>
      <c r="F20" s="200"/>
      <c r="G20" s="200"/>
      <c r="H20" s="200"/>
      <c r="I20" s="200"/>
      <c r="J20" s="200"/>
      <c r="K20" s="200"/>
      <c r="L20" s="200"/>
      <c r="M20" s="200"/>
      <c r="O20" s="110" t="s">
        <v>253</v>
      </c>
      <c r="P20" s="18">
        <v>25</v>
      </c>
      <c r="Q20" s="17">
        <v>0</v>
      </c>
      <c r="R20" s="18">
        <f t="shared" si="0"/>
        <v>0</v>
      </c>
    </row>
    <row r="21" spans="1:20" s="7" customFormat="1" ht="19.149999999999999" customHeight="1">
      <c r="B21" s="201"/>
      <c r="C21" s="201"/>
      <c r="D21" s="201"/>
      <c r="E21" s="201"/>
      <c r="F21" s="201"/>
      <c r="G21" s="201"/>
      <c r="H21" s="201"/>
      <c r="I21" s="201"/>
      <c r="J21" s="201"/>
      <c r="K21" s="201"/>
      <c r="L21" s="201"/>
      <c r="M21" s="201"/>
      <c r="N21" s="29"/>
      <c r="O21" s="110" t="s">
        <v>184</v>
      </c>
      <c r="P21" s="18">
        <v>30</v>
      </c>
      <c r="Q21" s="17">
        <v>0</v>
      </c>
      <c r="R21" s="18">
        <f>P21*Q21</f>
        <v>0</v>
      </c>
    </row>
    <row r="22" spans="1:20" s="7" customFormat="1" ht="19.149999999999999" customHeight="1">
      <c r="B22" s="21"/>
      <c r="C22" s="21"/>
      <c r="D22" s="21"/>
      <c r="E22" s="21"/>
      <c r="F22" s="21"/>
      <c r="G22" s="21"/>
      <c r="H22" s="21"/>
      <c r="I22" s="21"/>
      <c r="J22" s="21"/>
      <c r="K22" s="21"/>
      <c r="L22" s="21"/>
      <c r="M22" s="21"/>
      <c r="N22" s="29"/>
      <c r="O22" s="110" t="s">
        <v>383</v>
      </c>
      <c r="P22" s="18">
        <v>25</v>
      </c>
      <c r="Q22" s="17">
        <v>0</v>
      </c>
      <c r="R22" s="18">
        <f>P22*Q22</f>
        <v>0</v>
      </c>
    </row>
    <row r="23" spans="1:20" s="29" customFormat="1" ht="19.149999999999999" customHeight="1">
      <c r="B23" s="197" t="s">
        <v>137</v>
      </c>
      <c r="C23" s="197"/>
      <c r="D23" s="197"/>
      <c r="E23" s="197"/>
      <c r="F23" s="197"/>
      <c r="G23" s="197"/>
      <c r="H23" s="197"/>
      <c r="I23" s="197"/>
      <c r="J23" s="197"/>
      <c r="K23" s="197"/>
      <c r="L23" s="197"/>
      <c r="M23" s="197"/>
      <c r="O23" s="110" t="s">
        <v>183</v>
      </c>
      <c r="P23" s="18">
        <v>25</v>
      </c>
      <c r="Q23" s="17">
        <v>0</v>
      </c>
      <c r="R23" s="18">
        <f>P23*Q23</f>
        <v>0</v>
      </c>
      <c r="S23" s="7"/>
    </row>
    <row r="24" spans="1:20" s="29" customFormat="1" ht="19.149999999999999" customHeight="1">
      <c r="B24" s="197"/>
      <c r="C24" s="197"/>
      <c r="D24" s="197"/>
      <c r="E24" s="197"/>
      <c r="F24" s="197"/>
      <c r="G24" s="197"/>
      <c r="H24" s="197"/>
      <c r="I24" s="197"/>
      <c r="J24" s="197"/>
      <c r="K24" s="197"/>
      <c r="L24" s="197"/>
      <c r="M24" s="197"/>
      <c r="N24" s="7"/>
      <c r="O24" s="108" t="s">
        <v>62</v>
      </c>
      <c r="P24" s="18">
        <v>18</v>
      </c>
      <c r="Q24" s="17">
        <v>0</v>
      </c>
      <c r="R24" s="18">
        <f t="shared" si="0"/>
        <v>0</v>
      </c>
      <c r="S24" s="7"/>
      <c r="T24" s="7"/>
    </row>
    <row r="25" spans="1:20" s="29" customFormat="1" ht="19.149999999999999" customHeight="1">
      <c r="B25" s="197"/>
      <c r="C25" s="197"/>
      <c r="D25" s="197"/>
      <c r="E25" s="197"/>
      <c r="F25" s="197"/>
      <c r="G25" s="197"/>
      <c r="H25" s="197"/>
      <c r="I25" s="197"/>
      <c r="J25" s="197"/>
      <c r="K25" s="197"/>
      <c r="L25" s="197"/>
      <c r="M25" s="197"/>
      <c r="N25" s="7"/>
      <c r="O25" s="108" t="s">
        <v>254</v>
      </c>
      <c r="P25" s="18">
        <v>18</v>
      </c>
      <c r="Q25" s="17">
        <v>0</v>
      </c>
      <c r="R25" s="18">
        <f t="shared" si="0"/>
        <v>0</v>
      </c>
      <c r="S25" s="7"/>
      <c r="T25" s="7"/>
    </row>
    <row r="26" spans="1:20" s="29" customFormat="1" ht="19.149999999999999" customHeight="1">
      <c r="A26" s="7"/>
      <c r="B26" s="219" t="s">
        <v>66</v>
      </c>
      <c r="C26" s="219"/>
      <c r="D26" s="219"/>
      <c r="E26" s="219"/>
      <c r="F26" s="219"/>
      <c r="G26" s="219"/>
      <c r="H26" s="219"/>
      <c r="I26" s="219"/>
      <c r="J26" s="219"/>
      <c r="K26" s="219"/>
      <c r="L26" s="219"/>
      <c r="M26" s="219"/>
      <c r="N26" s="7"/>
      <c r="O26" s="109" t="s">
        <v>255</v>
      </c>
      <c r="P26" s="18">
        <v>27</v>
      </c>
      <c r="Q26" s="17">
        <v>0</v>
      </c>
      <c r="R26" s="18">
        <f t="shared" si="0"/>
        <v>0</v>
      </c>
      <c r="S26" s="7"/>
      <c r="T26" s="7"/>
    </row>
    <row r="27" spans="1:20" s="7" customFormat="1" ht="19.149999999999999" customHeight="1">
      <c r="A27" s="29"/>
      <c r="B27" s="25"/>
      <c r="C27" s="25"/>
      <c r="D27" s="25"/>
      <c r="E27" s="25"/>
      <c r="F27" s="25"/>
      <c r="G27" s="25"/>
      <c r="O27" s="109" t="s">
        <v>256</v>
      </c>
      <c r="P27" s="18">
        <v>32</v>
      </c>
      <c r="Q27" s="17">
        <v>0</v>
      </c>
      <c r="R27" s="18">
        <f t="shared" si="0"/>
        <v>0</v>
      </c>
    </row>
    <row r="28" spans="1:20" s="7" customFormat="1" ht="19.149999999999999" customHeight="1">
      <c r="B28" s="25"/>
      <c r="C28" s="25"/>
      <c r="D28" s="25"/>
      <c r="E28" s="25"/>
      <c r="F28" s="25"/>
      <c r="G28" s="25"/>
      <c r="O28" s="109" t="s">
        <v>257</v>
      </c>
      <c r="P28" s="18">
        <v>37</v>
      </c>
      <c r="Q28" s="17">
        <v>0</v>
      </c>
      <c r="R28" s="18">
        <f t="shared" si="0"/>
        <v>0</v>
      </c>
    </row>
    <row r="29" spans="1:20" s="7" customFormat="1" ht="19.149999999999999" customHeight="1">
      <c r="B29" s="25"/>
      <c r="C29" s="25"/>
      <c r="D29" s="25"/>
      <c r="E29" s="25"/>
      <c r="F29" s="25"/>
      <c r="G29" s="25"/>
      <c r="O29" s="108" t="s">
        <v>182</v>
      </c>
      <c r="P29" s="18">
        <v>18</v>
      </c>
      <c r="Q29" s="17">
        <v>0</v>
      </c>
      <c r="R29" s="18">
        <f t="shared" si="0"/>
        <v>0</v>
      </c>
      <c r="T29" s="29"/>
    </row>
    <row r="30" spans="1:20" s="7" customFormat="1" ht="19.149999999999999" customHeight="1">
      <c r="B30" s="25"/>
      <c r="C30" s="25"/>
      <c r="D30" s="25"/>
      <c r="E30" s="25"/>
      <c r="F30" s="25"/>
      <c r="G30" s="25"/>
      <c r="H30" s="25"/>
      <c r="I30" s="25"/>
      <c r="J30" s="25"/>
      <c r="K30" s="25"/>
      <c r="L30" s="25"/>
      <c r="M30" s="25"/>
      <c r="O30" s="110" t="s">
        <v>217</v>
      </c>
      <c r="P30" s="18">
        <v>35</v>
      </c>
      <c r="Q30" s="17">
        <v>0</v>
      </c>
      <c r="R30" s="18">
        <f t="shared" si="0"/>
        <v>0</v>
      </c>
      <c r="S30" s="29"/>
      <c r="T30" s="29"/>
    </row>
    <row r="31" spans="1:20" s="7" customFormat="1" ht="19.149999999999999" customHeight="1">
      <c r="B31" s="25"/>
      <c r="C31" s="25"/>
      <c r="D31" s="25"/>
      <c r="E31" s="25"/>
      <c r="F31" s="25"/>
      <c r="G31" s="25"/>
      <c r="H31" s="25"/>
      <c r="I31" s="25"/>
      <c r="J31" s="25"/>
      <c r="K31" s="25"/>
      <c r="L31" s="25"/>
      <c r="M31" s="25"/>
      <c r="O31" s="110" t="s">
        <v>218</v>
      </c>
      <c r="P31" s="18">
        <v>40</v>
      </c>
      <c r="Q31" s="17">
        <v>0</v>
      </c>
      <c r="R31" s="18">
        <f t="shared" si="0"/>
        <v>0</v>
      </c>
      <c r="S31" s="29"/>
      <c r="T31" s="29"/>
    </row>
    <row r="32" spans="1:20" s="7" customFormat="1" ht="19.149999999999999" customHeight="1">
      <c r="B32" s="25"/>
      <c r="C32" s="25"/>
      <c r="D32" s="25"/>
      <c r="E32" s="25"/>
      <c r="F32" s="25"/>
      <c r="G32" s="25"/>
      <c r="H32" s="25"/>
      <c r="I32" s="25"/>
      <c r="J32" s="25"/>
      <c r="K32" s="25"/>
      <c r="L32" s="25"/>
      <c r="M32" s="25"/>
      <c r="O32" s="110" t="s">
        <v>64</v>
      </c>
      <c r="P32" s="18">
        <v>12</v>
      </c>
      <c r="Q32" s="17">
        <v>0</v>
      </c>
      <c r="R32" s="18">
        <f>P32*Q32</f>
        <v>0</v>
      </c>
      <c r="T32" s="29"/>
    </row>
    <row r="33" spans="1:20" s="7" customFormat="1" ht="19.149999999999999" customHeight="1">
      <c r="B33" s="25"/>
      <c r="C33" s="25"/>
      <c r="D33" s="25"/>
      <c r="E33" s="25"/>
      <c r="F33" s="25"/>
      <c r="G33" s="25"/>
      <c r="H33" s="25"/>
      <c r="I33" s="25"/>
      <c r="J33" s="25"/>
      <c r="K33" s="25"/>
      <c r="L33" s="25"/>
      <c r="M33" s="25"/>
      <c r="O33" s="110" t="s">
        <v>65</v>
      </c>
      <c r="P33" s="18">
        <v>25</v>
      </c>
      <c r="Q33" s="17">
        <v>0</v>
      </c>
      <c r="R33" s="18">
        <f t="shared" ref="R33:R34" si="18">P33*Q33</f>
        <v>0</v>
      </c>
    </row>
    <row r="34" spans="1:20" s="7" customFormat="1" ht="19.149999999999999" customHeight="1">
      <c r="B34" s="25"/>
      <c r="C34" s="25"/>
      <c r="D34" s="25"/>
      <c r="E34" s="25"/>
      <c r="F34" s="25"/>
      <c r="G34" s="25"/>
      <c r="H34" s="25"/>
      <c r="I34" s="25"/>
      <c r="J34" s="25"/>
      <c r="K34" s="25"/>
      <c r="L34" s="25"/>
      <c r="M34" s="25"/>
      <c r="O34" s="110" t="s">
        <v>67</v>
      </c>
      <c r="P34" s="18">
        <v>15</v>
      </c>
      <c r="Q34" s="17">
        <v>0</v>
      </c>
      <c r="R34" s="18">
        <f t="shared" si="18"/>
        <v>0</v>
      </c>
    </row>
    <row r="35" spans="1:20" s="7" customFormat="1" ht="19.149999999999999" customHeight="1" thickBot="1">
      <c r="B35" s="25"/>
      <c r="C35" s="25"/>
      <c r="D35" s="25"/>
      <c r="E35" s="25"/>
      <c r="F35" s="25"/>
      <c r="G35" s="25"/>
      <c r="H35" s="25"/>
      <c r="I35" s="25"/>
      <c r="J35" s="25"/>
      <c r="K35" s="25"/>
      <c r="L35" s="25"/>
      <c r="M35" s="25"/>
      <c r="O35" s="111" t="s">
        <v>68</v>
      </c>
      <c r="P35" s="22"/>
      <c r="Q35" s="22"/>
      <c r="R35" s="22"/>
    </row>
    <row r="36" spans="1:20" s="7" customFormat="1" ht="19.149999999999999" customHeight="1" thickTop="1">
      <c r="B36" s="25"/>
      <c r="C36" s="25"/>
      <c r="D36" s="25"/>
      <c r="E36" s="25"/>
      <c r="F36" s="25"/>
      <c r="G36" s="25"/>
      <c r="H36" s="25"/>
      <c r="I36" s="25"/>
      <c r="J36" s="25"/>
      <c r="K36" s="25"/>
      <c r="L36" s="25"/>
      <c r="M36" s="25"/>
      <c r="O36" s="31"/>
      <c r="P36" s="20" t="s">
        <v>69</v>
      </c>
      <c r="Q36" s="218">
        <f>SUM(R11:R34)</f>
        <v>0</v>
      </c>
      <c r="R36" s="218"/>
    </row>
    <row r="37" spans="1:20" s="7" customFormat="1" ht="19.149999999999999" customHeight="1">
      <c r="A37" s="25"/>
      <c r="B37" s="25"/>
      <c r="C37" s="25"/>
      <c r="D37" s="25"/>
      <c r="E37" s="25"/>
      <c r="F37" s="25"/>
      <c r="G37" s="25"/>
      <c r="H37" s="25"/>
      <c r="I37" s="25"/>
      <c r="J37" s="25"/>
      <c r="K37" s="25"/>
      <c r="L37" s="25"/>
      <c r="M37" s="25"/>
      <c r="N37" s="25"/>
      <c r="O37" s="29"/>
      <c r="P37" s="29"/>
      <c r="R37" s="29"/>
    </row>
    <row r="38" spans="1:20" s="7" customFormat="1" ht="19.149999999999999" customHeight="1">
      <c r="A38" s="25"/>
      <c r="B38" s="25"/>
      <c r="C38" s="25"/>
      <c r="D38" s="25"/>
      <c r="E38" s="25"/>
      <c r="F38" s="25"/>
      <c r="G38" s="25"/>
      <c r="H38" s="25"/>
      <c r="I38" s="25"/>
      <c r="J38" s="25"/>
      <c r="K38" s="25"/>
      <c r="L38" s="25"/>
      <c r="M38" s="25"/>
      <c r="N38" s="25"/>
    </row>
    <row r="39" spans="1:20" ht="19.149999999999999" customHeight="1">
      <c r="O39" s="7"/>
      <c r="P39" s="7"/>
      <c r="Q39" s="7"/>
      <c r="R39" s="7"/>
      <c r="S39" s="7"/>
      <c r="T39" s="7"/>
    </row>
    <row r="40" spans="1:20" ht="19.149999999999999" customHeight="1">
      <c r="O40" s="7"/>
      <c r="P40" s="7"/>
      <c r="Q40" s="7"/>
      <c r="R40" s="7"/>
      <c r="S40" s="7"/>
      <c r="T40" s="7"/>
    </row>
    <row r="41" spans="1:20" ht="19.149999999999999" customHeight="1">
      <c r="O41" s="7"/>
      <c r="P41" s="7"/>
      <c r="Q41" s="7"/>
      <c r="R41" s="7"/>
      <c r="S41" s="7"/>
      <c r="T41" s="7"/>
    </row>
    <row r="42" spans="1:20">
      <c r="O42" s="7"/>
      <c r="P42" s="7"/>
      <c r="Q42" s="7"/>
      <c r="R42" s="7"/>
      <c r="S42" s="7"/>
      <c r="T42" s="7"/>
    </row>
    <row r="43" spans="1:20">
      <c r="O43" s="7"/>
      <c r="P43" s="7"/>
      <c r="Q43" s="7"/>
      <c r="R43" s="7"/>
      <c r="S43" s="7"/>
      <c r="T43" s="7"/>
    </row>
    <row r="44" spans="1:20">
      <c r="O44" s="7"/>
      <c r="P44" s="7"/>
      <c r="Q44" s="7"/>
      <c r="R44" s="7"/>
      <c r="S44" s="7"/>
      <c r="T44" s="7"/>
    </row>
    <row r="45" spans="1:20">
      <c r="O45" s="23"/>
      <c r="P45" s="7"/>
      <c r="Q45" s="7"/>
      <c r="R45" s="7"/>
      <c r="S45" s="7"/>
    </row>
    <row r="46" spans="1:20">
      <c r="O46" s="7"/>
      <c r="P46" s="7"/>
      <c r="Q46" s="7"/>
      <c r="R46" s="7"/>
      <c r="S46" s="7"/>
    </row>
    <row r="47" spans="1:20">
      <c r="O47" s="7"/>
      <c r="P47" s="7"/>
      <c r="Q47" s="7"/>
      <c r="R47" s="7"/>
      <c r="S47" s="7"/>
    </row>
    <row r="48" spans="1:20">
      <c r="O48" s="7"/>
      <c r="P48" s="7"/>
      <c r="Q48" s="7"/>
      <c r="R48" s="7"/>
      <c r="S48" s="7"/>
    </row>
    <row r="49" spans="15:19">
      <c r="O49" s="7"/>
      <c r="P49" s="7"/>
      <c r="Q49" s="7"/>
      <c r="R49" s="7"/>
      <c r="S49" s="7"/>
    </row>
    <row r="50" spans="15:19">
      <c r="O50" s="7"/>
      <c r="P50" s="7"/>
      <c r="Q50" s="7"/>
      <c r="R50" s="7"/>
    </row>
    <row r="51" spans="15:19">
      <c r="O51" s="7"/>
      <c r="P51" s="7"/>
      <c r="Q51" s="7"/>
      <c r="R51" s="7"/>
    </row>
    <row r="52" spans="15:19">
      <c r="O52" s="7"/>
      <c r="P52" s="7"/>
      <c r="R52" s="7"/>
    </row>
    <row r="53" spans="15:19">
      <c r="O53" s="7"/>
      <c r="P53" s="7"/>
      <c r="R53" s="7"/>
    </row>
    <row r="54" spans="15:19">
      <c r="O54" s="7"/>
      <c r="P54" s="7"/>
      <c r="R54" s="7"/>
    </row>
    <row r="55" spans="15:19">
      <c r="O55" s="7"/>
      <c r="P55" s="7"/>
      <c r="R55" s="7"/>
    </row>
  </sheetData>
  <sheetProtection algorithmName="SHA-512" hashValue="LG6oA5I/QqT5l6Jxs+iGw2QI2yjN8EcHsGwE+UPdXEiyxflL65Dw9Lnq+WhLyA93EgOEKh+6U+Zs2HTa0CZY9g==" saltValue="1dwBGLPImFAWMsd8bUgQIA==" spinCount="100000" sheet="1" objects="1" scenarios="1"/>
  <mergeCells count="21">
    <mergeCell ref="B2:M3"/>
    <mergeCell ref="B4:M6"/>
    <mergeCell ref="E13:F13"/>
    <mergeCell ref="B7:M7"/>
    <mergeCell ref="Q36:R36"/>
    <mergeCell ref="B26:M26"/>
    <mergeCell ref="B23:M25"/>
    <mergeCell ref="C11:D11"/>
    <mergeCell ref="S4:S6"/>
    <mergeCell ref="E15:F15"/>
    <mergeCell ref="E16:F16"/>
    <mergeCell ref="E19:F19"/>
    <mergeCell ref="B20:M21"/>
    <mergeCell ref="E14:F14"/>
    <mergeCell ref="E8:F8"/>
    <mergeCell ref="E9:F9"/>
    <mergeCell ref="G9:M9"/>
    <mergeCell ref="E11:F11"/>
    <mergeCell ref="E12:F12"/>
    <mergeCell ref="E17:F17"/>
    <mergeCell ref="E18:F18"/>
  </mergeCells>
  <hyperlinks>
    <hyperlink ref="B26:M26" r:id="rId1" display="learn more" xr:uid="{9A8A5A93-A907-4E79-A353-8D9810AD2CEA}"/>
    <hyperlink ref="C11:D11" location="'Little QT'!A1" display="See tab for &quot;Little QT&quot;" xr:uid="{6B51F97F-C9E8-407F-9E98-021200C77450}"/>
  </hyperlinks>
  <printOptions horizontalCentered="1"/>
  <pageMargins left="0.25" right="0.25" top="0.75" bottom="0.75" header="0.3" footer="0.3"/>
  <pageSetup paperSize="9" scale="69" orientation="landscape"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8BA80-A3FC-4AB5-B103-15FD882781F8}">
  <sheetPr codeName="Sheet7"/>
  <dimension ref="A2:V51"/>
  <sheetViews>
    <sheetView showGridLines="0" workbookViewId="0"/>
  </sheetViews>
  <sheetFormatPr defaultRowHeight="14.25"/>
  <cols>
    <col min="1" max="1" width="3.86328125" style="25" customWidth="1"/>
    <col min="2" max="4" width="14.73046875" style="25" customWidth="1"/>
    <col min="5" max="5" width="5.59765625" style="25" customWidth="1"/>
    <col min="6" max="6" width="7.265625" style="25" customWidth="1"/>
    <col min="7" max="15" width="10.265625" style="25" customWidth="1"/>
    <col min="16" max="16" width="3.86328125" style="25" customWidth="1"/>
    <col min="17" max="17" width="31.265625" style="25" bestFit="1" customWidth="1"/>
    <col min="18" max="18" width="8.59765625" style="25" bestFit="1" customWidth="1"/>
    <col min="19" max="19" width="10.265625" style="25" customWidth="1"/>
    <col min="20" max="22" width="8.86328125" style="25"/>
  </cols>
  <sheetData>
    <row r="2" spans="1:22" ht="19.149999999999999" customHeight="1" thickBot="1">
      <c r="A2" s="7"/>
      <c r="B2" s="196" t="s">
        <v>80</v>
      </c>
      <c r="C2" s="196"/>
      <c r="D2" s="196"/>
      <c r="E2" s="196"/>
      <c r="F2" s="196"/>
      <c r="G2" s="196"/>
      <c r="H2" s="196"/>
      <c r="I2" s="196"/>
      <c r="J2" s="196"/>
      <c r="K2" s="196"/>
      <c r="L2" s="196"/>
      <c r="M2" s="196"/>
      <c r="N2" s="196"/>
      <c r="O2" s="196"/>
      <c r="P2" s="7"/>
      <c r="Q2" s="113" t="s">
        <v>22</v>
      </c>
      <c r="R2" s="113"/>
      <c r="S2" s="11"/>
      <c r="T2" s="11"/>
      <c r="U2" s="7"/>
      <c r="V2" s="7"/>
    </row>
    <row r="3" spans="1:22" ht="19.149999999999999" customHeight="1">
      <c r="A3" s="7"/>
      <c r="B3" s="196"/>
      <c r="C3" s="196"/>
      <c r="D3" s="196"/>
      <c r="E3" s="196"/>
      <c r="F3" s="196"/>
      <c r="G3" s="196"/>
      <c r="H3" s="196"/>
      <c r="I3" s="196"/>
      <c r="J3" s="196"/>
      <c r="K3" s="196"/>
      <c r="L3" s="196"/>
      <c r="M3" s="196"/>
      <c r="N3" s="196"/>
      <c r="O3" s="196"/>
      <c r="P3" s="7"/>
      <c r="Q3" s="33" t="s">
        <v>70</v>
      </c>
      <c r="R3" s="33"/>
      <c r="S3" s="12">
        <v>10</v>
      </c>
      <c r="T3" s="7" t="s">
        <v>23</v>
      </c>
      <c r="U3" s="13" t="s">
        <v>24</v>
      </c>
      <c r="V3" s="7"/>
    </row>
    <row r="4" spans="1:22" ht="19.149999999999999" customHeight="1">
      <c r="A4" s="7"/>
      <c r="B4" s="197" t="s">
        <v>415</v>
      </c>
      <c r="C4" s="197"/>
      <c r="D4" s="197"/>
      <c r="E4" s="197"/>
      <c r="F4" s="197"/>
      <c r="G4" s="197"/>
      <c r="H4" s="197"/>
      <c r="I4" s="197"/>
      <c r="J4" s="197"/>
      <c r="K4" s="197"/>
      <c r="L4" s="197"/>
      <c r="M4" s="197"/>
      <c r="N4" s="197"/>
      <c r="O4" s="197"/>
      <c r="P4" s="7"/>
      <c r="Q4" s="35" t="s">
        <v>26</v>
      </c>
      <c r="R4" s="35"/>
      <c r="S4" s="27">
        <v>1</v>
      </c>
      <c r="T4" s="16" t="s">
        <v>27</v>
      </c>
      <c r="U4" s="198" t="s">
        <v>28</v>
      </c>
      <c r="V4" s="7"/>
    </row>
    <row r="5" spans="1:22" ht="19.149999999999999" customHeight="1">
      <c r="A5" s="7"/>
      <c r="B5" s="197"/>
      <c r="C5" s="197"/>
      <c r="D5" s="197"/>
      <c r="E5" s="197"/>
      <c r="F5" s="197"/>
      <c r="G5" s="197"/>
      <c r="H5" s="197"/>
      <c r="I5" s="197"/>
      <c r="J5" s="197"/>
      <c r="K5" s="197"/>
      <c r="L5" s="197"/>
      <c r="M5" s="197"/>
      <c r="N5" s="197"/>
      <c r="O5" s="197"/>
      <c r="P5" s="7"/>
      <c r="Q5" s="35" t="s">
        <v>29</v>
      </c>
      <c r="R5" s="35"/>
      <c r="S5" s="27">
        <v>1</v>
      </c>
      <c r="T5" s="16" t="s">
        <v>27</v>
      </c>
      <c r="U5" s="198"/>
      <c r="V5" s="7"/>
    </row>
    <row r="6" spans="1:22" ht="19.149999999999999" customHeight="1">
      <c r="A6" s="7"/>
      <c r="B6" s="197"/>
      <c r="C6" s="197"/>
      <c r="D6" s="197"/>
      <c r="E6" s="197"/>
      <c r="F6" s="197"/>
      <c r="G6" s="197"/>
      <c r="H6" s="197"/>
      <c r="I6" s="197"/>
      <c r="J6" s="197"/>
      <c r="K6" s="197"/>
      <c r="L6" s="197"/>
      <c r="M6" s="197"/>
      <c r="N6" s="197"/>
      <c r="O6" s="197"/>
      <c r="P6" s="7"/>
      <c r="Q6" s="35" t="s">
        <v>30</v>
      </c>
      <c r="R6" s="35"/>
      <c r="S6" s="27">
        <v>1</v>
      </c>
      <c r="T6" s="16" t="s">
        <v>27</v>
      </c>
      <c r="U6" s="198"/>
      <c r="V6" s="7"/>
    </row>
    <row r="7" spans="1:22" ht="19.149999999999999" customHeight="1">
      <c r="A7" s="7"/>
      <c r="B7" s="217" t="s">
        <v>416</v>
      </c>
      <c r="C7" s="217"/>
      <c r="D7" s="217"/>
      <c r="E7" s="217"/>
      <c r="F7" s="217"/>
      <c r="G7" s="217"/>
      <c r="H7" s="217"/>
      <c r="I7" s="217"/>
      <c r="J7" s="217"/>
      <c r="K7" s="217"/>
      <c r="L7" s="217"/>
      <c r="M7" s="217"/>
      <c r="N7" s="217"/>
      <c r="O7" s="217"/>
      <c r="P7" s="7"/>
      <c r="Q7" s="34"/>
      <c r="R7" s="34"/>
      <c r="S7" s="81"/>
      <c r="T7" s="16"/>
      <c r="U7" s="13"/>
      <c r="V7" s="7"/>
    </row>
    <row r="8" spans="1:22" ht="34.9" customHeight="1">
      <c r="A8" s="9"/>
      <c r="B8" s="8"/>
      <c r="C8" s="8"/>
      <c r="D8" s="8"/>
      <c r="E8" s="202" t="s">
        <v>31</v>
      </c>
      <c r="F8" s="202"/>
      <c r="G8" s="8"/>
      <c r="H8" s="8"/>
      <c r="I8" s="8"/>
      <c r="J8" s="8"/>
      <c r="K8" s="8"/>
      <c r="L8" s="8"/>
      <c r="M8" s="8"/>
      <c r="N8" s="8"/>
      <c r="O8" s="8"/>
      <c r="P8" s="9"/>
      <c r="Q8" s="7"/>
      <c r="R8" s="7"/>
      <c r="S8" s="7"/>
      <c r="T8" s="7"/>
      <c r="U8" s="7"/>
      <c r="V8" s="7"/>
    </row>
    <row r="9" spans="1:22" ht="19.149999999999999" customHeight="1">
      <c r="A9" s="7"/>
      <c r="B9" s="7"/>
      <c r="C9" s="7"/>
      <c r="D9" s="7"/>
      <c r="E9" s="203" t="s">
        <v>32</v>
      </c>
      <c r="F9" s="203"/>
      <c r="G9" s="204" t="s">
        <v>33</v>
      </c>
      <c r="H9" s="204"/>
      <c r="I9" s="204"/>
      <c r="J9" s="204"/>
      <c r="K9" s="204"/>
      <c r="L9" s="204"/>
      <c r="M9" s="204"/>
      <c r="N9" s="204"/>
      <c r="O9" s="204"/>
      <c r="P9" s="7"/>
      <c r="Q9" s="7"/>
      <c r="R9" s="7"/>
      <c r="S9" s="7"/>
      <c r="T9" s="7"/>
      <c r="U9" s="7"/>
      <c r="V9" s="7"/>
    </row>
    <row r="10" spans="1:22" ht="21.4" thickBot="1">
      <c r="A10" s="7"/>
      <c r="B10" s="55" t="s">
        <v>34</v>
      </c>
      <c r="C10" s="55" t="s">
        <v>35</v>
      </c>
      <c r="D10" s="55" t="s">
        <v>36</v>
      </c>
      <c r="E10" s="56">
        <f>S3</f>
        <v>10</v>
      </c>
      <c r="F10" s="57" t="s">
        <v>37</v>
      </c>
      <c r="G10" s="55" t="s">
        <v>38</v>
      </c>
      <c r="H10" s="55" t="s">
        <v>39</v>
      </c>
      <c r="I10" s="55" t="s">
        <v>40</v>
      </c>
      <c r="J10" s="70" t="s">
        <v>41</v>
      </c>
      <c r="K10" s="55" t="s">
        <v>43</v>
      </c>
      <c r="L10" s="55" t="s">
        <v>45</v>
      </c>
      <c r="M10" s="70" t="s">
        <v>81</v>
      </c>
      <c r="N10" s="55" t="s">
        <v>82</v>
      </c>
      <c r="O10" s="70" t="s">
        <v>83</v>
      </c>
      <c r="P10" s="7"/>
      <c r="Q10" s="103" t="s">
        <v>47</v>
      </c>
      <c r="R10" s="103"/>
      <c r="S10" s="106" t="s">
        <v>48</v>
      </c>
      <c r="T10" s="107" t="s">
        <v>49</v>
      </c>
      <c r="U10" s="7"/>
      <c r="V10" s="7"/>
    </row>
    <row r="11" spans="1:22" ht="19.350000000000001" customHeight="1">
      <c r="A11" s="7"/>
      <c r="B11" s="138" t="s">
        <v>344</v>
      </c>
      <c r="C11" s="211" t="s">
        <v>343</v>
      </c>
      <c r="D11" s="211"/>
      <c r="E11" s="209"/>
      <c r="F11" s="209"/>
      <c r="G11" s="139"/>
      <c r="H11" s="139"/>
      <c r="I11" s="139"/>
      <c r="J11" s="139"/>
      <c r="K11" s="139"/>
      <c r="L11" s="139"/>
      <c r="M11" s="139"/>
      <c r="N11" s="139"/>
      <c r="O11" s="139"/>
      <c r="P11" s="7"/>
      <c r="Q11" s="108" t="s">
        <v>51</v>
      </c>
      <c r="R11" s="18">
        <v>13</v>
      </c>
      <c r="S11" s="17">
        <v>0</v>
      </c>
      <c r="T11" s="18">
        <f t="shared" ref="T11:T27" si="0">R11*S11</f>
        <v>0</v>
      </c>
      <c r="U11" s="7"/>
      <c r="V11" s="7"/>
    </row>
    <row r="12" spans="1:22" ht="19.350000000000001" customHeight="1">
      <c r="A12" s="7"/>
      <c r="B12" s="61" t="s">
        <v>52</v>
      </c>
      <c r="C12" s="62">
        <f>75*$S$4</f>
        <v>75</v>
      </c>
      <c r="D12" s="62">
        <f>5*$S$5</f>
        <v>5</v>
      </c>
      <c r="E12" s="205">
        <f t="shared" ref="E12:E19" si="1">C12+(($S$3-10)*D12)+($S$32*$S$6)</f>
        <v>75</v>
      </c>
      <c r="F12" s="205"/>
      <c r="G12" s="62">
        <f t="shared" ref="G12:G19" si="2">C12+((15-10)*D12)+($S$32*$S$6)</f>
        <v>100</v>
      </c>
      <c r="H12" s="62">
        <f t="shared" ref="H12:H19" si="3">C12+((20-10)*D12)+($S$32*$S$6)</f>
        <v>125</v>
      </c>
      <c r="I12" s="62">
        <f t="shared" ref="I12:I19" si="4">C12+((25-10)*D12)+($S$32*$S$6)</f>
        <v>150</v>
      </c>
      <c r="J12" s="62">
        <f t="shared" ref="J12:J19" si="5">C12+((30-10)*D12)+($S$32*$S$6)</f>
        <v>175</v>
      </c>
      <c r="K12" s="62">
        <f t="shared" ref="K12:K19" si="6">C12+((40-10)*D12)+($S$32*$S$6)</f>
        <v>225</v>
      </c>
      <c r="L12" s="62">
        <f t="shared" ref="L12:L19" si="7">C12+((50-10)*D12)+($S$32*$S$6)</f>
        <v>275</v>
      </c>
      <c r="M12" s="62">
        <f t="shared" ref="M12:M19" si="8">C12+((55-10)*D12)+($S$32*$S$6)</f>
        <v>300</v>
      </c>
      <c r="N12" s="62">
        <f t="shared" ref="N12:N19" si="9">C12+((60-10)*D12)+($S$32*$S$6)</f>
        <v>325</v>
      </c>
      <c r="O12" s="63">
        <f t="shared" ref="O12:O19" si="10">C12+((65-10)*D12)+($S$32*$S$6)</f>
        <v>350</v>
      </c>
      <c r="P12" s="7"/>
      <c r="Q12" s="108" t="s">
        <v>53</v>
      </c>
      <c r="R12" s="18">
        <v>45</v>
      </c>
      <c r="S12" s="17">
        <v>0</v>
      </c>
      <c r="T12" s="18">
        <f t="shared" si="0"/>
        <v>0</v>
      </c>
      <c r="U12" s="7"/>
      <c r="V12" s="7"/>
    </row>
    <row r="13" spans="1:22" ht="19.350000000000001" customHeight="1">
      <c r="A13" s="7"/>
      <c r="B13" s="61" t="s">
        <v>54</v>
      </c>
      <c r="C13" s="62">
        <f>90*$S$4</f>
        <v>90</v>
      </c>
      <c r="D13" s="62">
        <f>5.5*$S$5</f>
        <v>5.5</v>
      </c>
      <c r="E13" s="205">
        <f t="shared" si="1"/>
        <v>90</v>
      </c>
      <c r="F13" s="205"/>
      <c r="G13" s="62">
        <f t="shared" si="2"/>
        <v>117.5</v>
      </c>
      <c r="H13" s="62">
        <f t="shared" si="3"/>
        <v>145</v>
      </c>
      <c r="I13" s="62">
        <f t="shared" si="4"/>
        <v>172.5</v>
      </c>
      <c r="J13" s="62">
        <f t="shared" si="5"/>
        <v>200</v>
      </c>
      <c r="K13" s="62">
        <f t="shared" si="6"/>
        <v>255</v>
      </c>
      <c r="L13" s="62">
        <f t="shared" si="7"/>
        <v>310</v>
      </c>
      <c r="M13" s="62">
        <f t="shared" si="8"/>
        <v>337.5</v>
      </c>
      <c r="N13" s="62">
        <f t="shared" si="9"/>
        <v>365</v>
      </c>
      <c r="O13" s="63">
        <f t="shared" si="10"/>
        <v>392.5</v>
      </c>
      <c r="P13" s="7"/>
      <c r="Q13" s="109" t="s">
        <v>55</v>
      </c>
      <c r="R13" s="18">
        <v>85</v>
      </c>
      <c r="S13" s="17">
        <v>0</v>
      </c>
      <c r="T13" s="18">
        <f t="shared" si="0"/>
        <v>0</v>
      </c>
      <c r="U13" s="7"/>
      <c r="V13" s="7"/>
    </row>
    <row r="14" spans="1:22" ht="19.350000000000001" customHeight="1">
      <c r="A14" s="7"/>
      <c r="B14" s="71" t="s">
        <v>56</v>
      </c>
      <c r="C14" s="62">
        <f>90*$S$4</f>
        <v>90</v>
      </c>
      <c r="D14" s="62">
        <f>5.5*$S$5</f>
        <v>5.5</v>
      </c>
      <c r="E14" s="205">
        <f t="shared" si="1"/>
        <v>90</v>
      </c>
      <c r="F14" s="205"/>
      <c r="G14" s="62">
        <f t="shared" si="2"/>
        <v>117.5</v>
      </c>
      <c r="H14" s="62">
        <f t="shared" si="3"/>
        <v>145</v>
      </c>
      <c r="I14" s="62">
        <f t="shared" si="4"/>
        <v>172.5</v>
      </c>
      <c r="J14" s="62">
        <f t="shared" si="5"/>
        <v>200</v>
      </c>
      <c r="K14" s="62">
        <f t="shared" si="6"/>
        <v>255</v>
      </c>
      <c r="L14" s="62">
        <f t="shared" si="7"/>
        <v>310</v>
      </c>
      <c r="M14" s="62">
        <f t="shared" si="8"/>
        <v>337.5</v>
      </c>
      <c r="N14" s="62">
        <f t="shared" si="9"/>
        <v>365</v>
      </c>
      <c r="O14" s="63">
        <f t="shared" si="10"/>
        <v>392.5</v>
      </c>
      <c r="P14" s="7"/>
      <c r="Q14" s="109" t="s">
        <v>180</v>
      </c>
      <c r="R14" s="18">
        <v>95</v>
      </c>
      <c r="S14" s="17">
        <v>0</v>
      </c>
      <c r="T14" s="18">
        <f t="shared" si="0"/>
        <v>0</v>
      </c>
      <c r="U14" s="7"/>
      <c r="V14" s="7"/>
    </row>
    <row r="15" spans="1:22" ht="19.350000000000001" customHeight="1">
      <c r="A15" s="7"/>
      <c r="B15" s="61" t="s">
        <v>58</v>
      </c>
      <c r="C15" s="62">
        <f>95*$S$4</f>
        <v>95</v>
      </c>
      <c r="D15" s="62">
        <f>6*$S$5</f>
        <v>6</v>
      </c>
      <c r="E15" s="205">
        <f t="shared" si="1"/>
        <v>95</v>
      </c>
      <c r="F15" s="205"/>
      <c r="G15" s="62">
        <f t="shared" si="2"/>
        <v>125</v>
      </c>
      <c r="H15" s="62">
        <f t="shared" si="3"/>
        <v>155</v>
      </c>
      <c r="I15" s="62">
        <f t="shared" si="4"/>
        <v>185</v>
      </c>
      <c r="J15" s="62">
        <f t="shared" si="5"/>
        <v>215</v>
      </c>
      <c r="K15" s="62">
        <f t="shared" si="6"/>
        <v>275</v>
      </c>
      <c r="L15" s="62">
        <f t="shared" si="7"/>
        <v>335</v>
      </c>
      <c r="M15" s="62">
        <f t="shared" si="8"/>
        <v>365</v>
      </c>
      <c r="N15" s="62">
        <f t="shared" si="9"/>
        <v>395</v>
      </c>
      <c r="O15" s="63">
        <f t="shared" si="10"/>
        <v>425</v>
      </c>
      <c r="P15" s="7"/>
      <c r="Q15" s="108" t="s">
        <v>57</v>
      </c>
      <c r="R15" s="18">
        <v>55</v>
      </c>
      <c r="S15" s="17">
        <v>0</v>
      </c>
      <c r="T15" s="18">
        <f t="shared" si="0"/>
        <v>0</v>
      </c>
      <c r="U15" s="7"/>
      <c r="V15" s="7"/>
    </row>
    <row r="16" spans="1:22" ht="19.350000000000001" customHeight="1">
      <c r="A16" s="7"/>
      <c r="B16" s="71" t="s">
        <v>60</v>
      </c>
      <c r="C16" s="62">
        <f>115*$S$4</f>
        <v>115</v>
      </c>
      <c r="D16" s="62">
        <f>7*$S$5</f>
        <v>7</v>
      </c>
      <c r="E16" s="205">
        <f t="shared" si="1"/>
        <v>115</v>
      </c>
      <c r="F16" s="205"/>
      <c r="G16" s="62">
        <f t="shared" si="2"/>
        <v>150</v>
      </c>
      <c r="H16" s="62">
        <f t="shared" si="3"/>
        <v>185</v>
      </c>
      <c r="I16" s="62">
        <f t="shared" si="4"/>
        <v>220</v>
      </c>
      <c r="J16" s="62">
        <f t="shared" si="5"/>
        <v>255</v>
      </c>
      <c r="K16" s="62">
        <f t="shared" si="6"/>
        <v>325</v>
      </c>
      <c r="L16" s="62">
        <f t="shared" si="7"/>
        <v>395</v>
      </c>
      <c r="M16" s="62">
        <f t="shared" si="8"/>
        <v>430</v>
      </c>
      <c r="N16" s="62">
        <f t="shared" si="9"/>
        <v>465</v>
      </c>
      <c r="O16" s="63">
        <f t="shared" si="10"/>
        <v>500</v>
      </c>
      <c r="P16" s="7"/>
      <c r="Q16" s="108" t="s">
        <v>181</v>
      </c>
      <c r="R16" s="18">
        <v>18</v>
      </c>
      <c r="S16" s="17">
        <v>0</v>
      </c>
      <c r="T16" s="18">
        <f t="shared" si="0"/>
        <v>0</v>
      </c>
      <c r="U16" s="7"/>
      <c r="V16" s="7"/>
    </row>
    <row r="17" spans="1:22" ht="19.350000000000001" customHeight="1">
      <c r="A17" s="7"/>
      <c r="B17" s="71" t="s">
        <v>411</v>
      </c>
      <c r="C17" s="62">
        <f>140*$S$4</f>
        <v>140</v>
      </c>
      <c r="D17" s="62">
        <f>9*$S$5</f>
        <v>9</v>
      </c>
      <c r="E17" s="205">
        <f t="shared" ref="E17:E18" si="11">C17+(($S$3-10)*D17)+($S$32*$S$6)</f>
        <v>140</v>
      </c>
      <c r="F17" s="205"/>
      <c r="G17" s="62">
        <f t="shared" ref="G17:G18" si="12">C17+((15-10)*D17)+($S$32*$S$6)</f>
        <v>185</v>
      </c>
      <c r="H17" s="62">
        <f t="shared" ref="H17:H18" si="13">C17+((20-10)*D17)+($S$32*$S$6)</f>
        <v>230</v>
      </c>
      <c r="I17" s="62">
        <f t="shared" ref="I17:I18" si="14">C17+((25-10)*D17)+($S$32*$S$6)</f>
        <v>275</v>
      </c>
      <c r="J17" s="62">
        <f t="shared" ref="J17:J18" si="15">C17+((30-10)*D17)+($S$32*$S$6)</f>
        <v>320</v>
      </c>
      <c r="K17" s="62">
        <f t="shared" ref="K17:K18" si="16">C17+((40-10)*D17)+($S$32*$S$6)</f>
        <v>410</v>
      </c>
      <c r="L17" s="62">
        <f t="shared" ref="L17:L18" si="17">C17+((50-10)*D17)+($S$32*$S$6)</f>
        <v>500</v>
      </c>
      <c r="M17" s="62">
        <f t="shared" ref="M17:M18" si="18">C17+((55-10)*D17)+($S$32*$S$6)</f>
        <v>545</v>
      </c>
      <c r="N17" s="62">
        <f t="shared" ref="N17:N18" si="19">C17+((60-10)*D17)+($S$32*$S$6)</f>
        <v>590</v>
      </c>
      <c r="O17" s="63">
        <f t="shared" ref="O17:O18" si="20">C17+((65-10)*D17)+($S$32*$S$6)</f>
        <v>635</v>
      </c>
      <c r="P17" s="7"/>
      <c r="Q17" s="110" t="s">
        <v>59</v>
      </c>
      <c r="R17" s="18">
        <v>45</v>
      </c>
      <c r="S17" s="17">
        <v>0</v>
      </c>
      <c r="T17" s="18">
        <f t="shared" si="0"/>
        <v>0</v>
      </c>
      <c r="U17" s="7"/>
      <c r="V17" s="7"/>
    </row>
    <row r="18" spans="1:22" ht="19.350000000000001" customHeight="1">
      <c r="A18" s="7"/>
      <c r="B18" s="71" t="s">
        <v>412</v>
      </c>
      <c r="C18" s="62">
        <f>165*$S$4</f>
        <v>165</v>
      </c>
      <c r="D18" s="62">
        <f>11*$S$5</f>
        <v>11</v>
      </c>
      <c r="E18" s="205">
        <f t="shared" si="11"/>
        <v>165</v>
      </c>
      <c r="F18" s="205"/>
      <c r="G18" s="62">
        <f t="shared" si="12"/>
        <v>220</v>
      </c>
      <c r="H18" s="62">
        <f t="shared" si="13"/>
        <v>275</v>
      </c>
      <c r="I18" s="62">
        <f t="shared" si="14"/>
        <v>330</v>
      </c>
      <c r="J18" s="62">
        <f t="shared" si="15"/>
        <v>385</v>
      </c>
      <c r="K18" s="62">
        <f t="shared" si="16"/>
        <v>495</v>
      </c>
      <c r="L18" s="62">
        <f t="shared" si="17"/>
        <v>605</v>
      </c>
      <c r="M18" s="62">
        <f t="shared" si="18"/>
        <v>660</v>
      </c>
      <c r="N18" s="62">
        <f t="shared" si="19"/>
        <v>715</v>
      </c>
      <c r="O18" s="63">
        <f t="shared" si="20"/>
        <v>770</v>
      </c>
      <c r="P18" s="7"/>
      <c r="Q18" s="110" t="s">
        <v>253</v>
      </c>
      <c r="R18" s="18">
        <v>25</v>
      </c>
      <c r="S18" s="17">
        <v>0</v>
      </c>
      <c r="T18" s="18">
        <f t="shared" si="0"/>
        <v>0</v>
      </c>
      <c r="U18" s="7"/>
      <c r="V18" s="7"/>
    </row>
    <row r="19" spans="1:22" ht="19.350000000000001" customHeight="1" thickBot="1">
      <c r="A19" s="7"/>
      <c r="B19" s="72" t="s">
        <v>61</v>
      </c>
      <c r="C19" s="69">
        <f>275*$S$4</f>
        <v>275</v>
      </c>
      <c r="D19" s="69">
        <f>14*$S$5</f>
        <v>14</v>
      </c>
      <c r="E19" s="199">
        <f t="shared" si="1"/>
        <v>275</v>
      </c>
      <c r="F19" s="199"/>
      <c r="G19" s="69">
        <f t="shared" si="2"/>
        <v>345</v>
      </c>
      <c r="H19" s="69">
        <f t="shared" si="3"/>
        <v>415</v>
      </c>
      <c r="I19" s="69">
        <f t="shared" si="4"/>
        <v>485</v>
      </c>
      <c r="J19" s="69">
        <f t="shared" si="5"/>
        <v>555</v>
      </c>
      <c r="K19" s="62">
        <f t="shared" si="6"/>
        <v>695</v>
      </c>
      <c r="L19" s="62">
        <f t="shared" si="7"/>
        <v>835</v>
      </c>
      <c r="M19" s="62">
        <f t="shared" si="8"/>
        <v>905</v>
      </c>
      <c r="N19" s="62">
        <f t="shared" si="9"/>
        <v>975</v>
      </c>
      <c r="O19" s="63">
        <f t="shared" si="10"/>
        <v>1045</v>
      </c>
      <c r="P19" s="7"/>
      <c r="Q19" s="110" t="s">
        <v>184</v>
      </c>
      <c r="R19" s="18">
        <v>30</v>
      </c>
      <c r="S19" s="17">
        <v>0</v>
      </c>
      <c r="T19" s="18">
        <f>R19*S19</f>
        <v>0</v>
      </c>
      <c r="U19" s="7"/>
      <c r="V19" s="7"/>
    </row>
    <row r="20" spans="1:22" ht="19.350000000000001" customHeight="1">
      <c r="A20" s="7"/>
      <c r="B20" s="200" t="s">
        <v>317</v>
      </c>
      <c r="C20" s="200"/>
      <c r="D20" s="200"/>
      <c r="E20" s="200"/>
      <c r="F20" s="200"/>
      <c r="G20" s="200"/>
      <c r="H20" s="200"/>
      <c r="I20" s="200"/>
      <c r="J20" s="200"/>
      <c r="K20" s="200"/>
      <c r="L20" s="200"/>
      <c r="M20" s="200"/>
      <c r="N20" s="200"/>
      <c r="O20" s="200"/>
      <c r="P20" s="7"/>
      <c r="Q20" s="108" t="s">
        <v>62</v>
      </c>
      <c r="R20" s="18">
        <v>18</v>
      </c>
      <c r="S20" s="17">
        <v>0</v>
      </c>
      <c r="T20" s="18">
        <f t="shared" si="0"/>
        <v>0</v>
      </c>
      <c r="U20" s="7"/>
      <c r="V20" s="7"/>
    </row>
    <row r="21" spans="1:22" ht="19.350000000000001" customHeight="1">
      <c r="A21" s="7"/>
      <c r="B21" s="201"/>
      <c r="C21" s="201"/>
      <c r="D21" s="201"/>
      <c r="E21" s="201"/>
      <c r="F21" s="201"/>
      <c r="G21" s="201"/>
      <c r="H21" s="201"/>
      <c r="I21" s="201"/>
      <c r="J21" s="201"/>
      <c r="K21" s="201"/>
      <c r="L21" s="201"/>
      <c r="M21" s="201"/>
      <c r="N21" s="201"/>
      <c r="O21" s="201"/>
      <c r="P21" s="29"/>
      <c r="Q21" s="108" t="s">
        <v>254</v>
      </c>
      <c r="R21" s="18">
        <v>18</v>
      </c>
      <c r="S21" s="17">
        <v>0</v>
      </c>
      <c r="T21" s="18">
        <f t="shared" si="0"/>
        <v>0</v>
      </c>
      <c r="U21" s="7"/>
      <c r="V21" s="7"/>
    </row>
    <row r="22" spans="1:22" ht="19.350000000000001" customHeight="1">
      <c r="A22" s="7"/>
      <c r="B22" s="21"/>
      <c r="C22" s="21"/>
      <c r="D22" s="21"/>
      <c r="E22" s="21"/>
      <c r="F22" s="21"/>
      <c r="G22" s="21"/>
      <c r="H22" s="21"/>
      <c r="I22" s="21"/>
      <c r="J22" s="21"/>
      <c r="K22" s="21"/>
      <c r="L22" s="21"/>
      <c r="M22" s="21"/>
      <c r="N22" s="21"/>
      <c r="O22" s="21"/>
      <c r="P22" s="29"/>
      <c r="Q22" s="109" t="s">
        <v>255</v>
      </c>
      <c r="R22" s="18">
        <v>27</v>
      </c>
      <c r="S22" s="17">
        <v>0</v>
      </c>
      <c r="T22" s="18">
        <f t="shared" si="0"/>
        <v>0</v>
      </c>
      <c r="U22" s="7"/>
      <c r="V22" s="7"/>
    </row>
    <row r="23" spans="1:22" ht="19.350000000000001" customHeight="1">
      <c r="A23" s="29"/>
      <c r="B23" s="197" t="s">
        <v>137</v>
      </c>
      <c r="C23" s="197"/>
      <c r="D23" s="197"/>
      <c r="E23" s="197"/>
      <c r="F23" s="197"/>
      <c r="G23" s="197"/>
      <c r="H23" s="197"/>
      <c r="I23" s="197"/>
      <c r="J23" s="197"/>
      <c r="K23" s="197"/>
      <c r="L23" s="197"/>
      <c r="M23" s="197"/>
      <c r="N23" s="197"/>
      <c r="O23" s="197"/>
      <c r="P23" s="29"/>
      <c r="Q23" s="109" t="s">
        <v>256</v>
      </c>
      <c r="R23" s="18">
        <v>32</v>
      </c>
      <c r="S23" s="17">
        <v>0</v>
      </c>
      <c r="T23" s="18">
        <f t="shared" si="0"/>
        <v>0</v>
      </c>
      <c r="U23" s="7"/>
      <c r="V23" s="29"/>
    </row>
    <row r="24" spans="1:22" ht="19.350000000000001" customHeight="1">
      <c r="A24" s="29"/>
      <c r="B24" s="197"/>
      <c r="C24" s="197"/>
      <c r="D24" s="197"/>
      <c r="E24" s="197"/>
      <c r="F24" s="197"/>
      <c r="G24" s="197"/>
      <c r="H24" s="197"/>
      <c r="I24" s="197"/>
      <c r="J24" s="197"/>
      <c r="K24" s="197"/>
      <c r="L24" s="197"/>
      <c r="M24" s="197"/>
      <c r="N24" s="197"/>
      <c r="O24" s="197"/>
      <c r="P24" s="7"/>
      <c r="Q24" s="109" t="s">
        <v>257</v>
      </c>
      <c r="R24" s="18">
        <v>37</v>
      </c>
      <c r="S24" s="17">
        <v>0</v>
      </c>
      <c r="T24" s="18">
        <f t="shared" si="0"/>
        <v>0</v>
      </c>
      <c r="U24" s="7"/>
      <c r="V24" s="7"/>
    </row>
    <row r="25" spans="1:22" ht="19.350000000000001" customHeight="1">
      <c r="A25" s="29"/>
      <c r="B25" s="197"/>
      <c r="C25" s="197"/>
      <c r="D25" s="197"/>
      <c r="E25" s="197"/>
      <c r="F25" s="197"/>
      <c r="G25" s="197"/>
      <c r="H25" s="197"/>
      <c r="I25" s="197"/>
      <c r="J25" s="197"/>
      <c r="K25" s="197"/>
      <c r="L25" s="197"/>
      <c r="M25" s="197"/>
      <c r="N25" s="197"/>
      <c r="O25" s="197"/>
      <c r="P25" s="7"/>
      <c r="Q25" s="108" t="s">
        <v>182</v>
      </c>
      <c r="R25" s="18">
        <v>18</v>
      </c>
      <c r="S25" s="17">
        <v>0</v>
      </c>
      <c r="T25" s="18">
        <f t="shared" si="0"/>
        <v>0</v>
      </c>
      <c r="U25" s="7"/>
      <c r="V25" s="7"/>
    </row>
    <row r="26" spans="1:22" ht="19.350000000000001" customHeight="1">
      <c r="A26" s="7"/>
      <c r="B26" s="219" t="s">
        <v>66</v>
      </c>
      <c r="C26" s="219"/>
      <c r="D26" s="219"/>
      <c r="E26" s="219"/>
      <c r="F26" s="219"/>
      <c r="G26" s="219"/>
      <c r="H26" s="219"/>
      <c r="I26" s="219"/>
      <c r="J26" s="219"/>
      <c r="K26" s="219"/>
      <c r="L26" s="219"/>
      <c r="M26" s="219"/>
      <c r="N26" s="219"/>
      <c r="O26" s="219"/>
      <c r="P26" s="7"/>
      <c r="Q26" s="110" t="s">
        <v>217</v>
      </c>
      <c r="R26" s="18">
        <v>35</v>
      </c>
      <c r="S26" s="17">
        <v>0</v>
      </c>
      <c r="T26" s="18">
        <f t="shared" si="0"/>
        <v>0</v>
      </c>
      <c r="U26" s="7"/>
      <c r="V26" s="7"/>
    </row>
    <row r="27" spans="1:22" ht="19.350000000000001" customHeight="1">
      <c r="A27" s="29"/>
      <c r="H27" s="7"/>
      <c r="I27" s="7"/>
      <c r="J27" s="7"/>
      <c r="K27" s="7"/>
      <c r="L27" s="7"/>
      <c r="M27" s="7"/>
      <c r="N27" s="7"/>
      <c r="O27" s="7"/>
      <c r="P27" s="7"/>
      <c r="Q27" s="110" t="s">
        <v>218</v>
      </c>
      <c r="R27" s="18">
        <v>40</v>
      </c>
      <c r="S27" s="17">
        <v>0</v>
      </c>
      <c r="T27" s="18">
        <f t="shared" si="0"/>
        <v>0</v>
      </c>
      <c r="U27" s="7"/>
      <c r="V27" s="7"/>
    </row>
    <row r="28" spans="1:22" ht="19.350000000000001" customHeight="1">
      <c r="A28" s="7"/>
      <c r="H28" s="7"/>
      <c r="I28" s="7"/>
      <c r="J28" s="7"/>
      <c r="K28" s="7"/>
      <c r="L28" s="7"/>
      <c r="M28" s="7"/>
      <c r="N28" s="7"/>
      <c r="O28" s="7"/>
      <c r="P28" s="7"/>
      <c r="Q28" s="110" t="s">
        <v>64</v>
      </c>
      <c r="R28" s="18">
        <v>12</v>
      </c>
      <c r="S28" s="17">
        <v>0</v>
      </c>
      <c r="T28" s="18">
        <f>R28*S28</f>
        <v>0</v>
      </c>
      <c r="U28" s="7"/>
      <c r="V28" s="7"/>
    </row>
    <row r="29" spans="1:22" ht="19.350000000000001" customHeight="1">
      <c r="A29" s="7"/>
      <c r="H29" s="7"/>
      <c r="I29" s="7"/>
      <c r="J29" s="7"/>
      <c r="K29" s="7"/>
      <c r="L29" s="7"/>
      <c r="M29" s="7"/>
      <c r="N29" s="7"/>
      <c r="O29" s="7"/>
      <c r="P29" s="7"/>
      <c r="Q29" s="110" t="s">
        <v>65</v>
      </c>
      <c r="R29" s="18">
        <v>25</v>
      </c>
      <c r="S29" s="17">
        <v>0</v>
      </c>
      <c r="T29" s="18">
        <f t="shared" ref="T29:T30" si="21">R29*S29</f>
        <v>0</v>
      </c>
      <c r="U29" s="7"/>
      <c r="V29" s="29"/>
    </row>
    <row r="30" spans="1:22" ht="19.350000000000001" customHeight="1">
      <c r="A30" s="7"/>
      <c r="P30" s="7"/>
      <c r="Q30" s="110" t="s">
        <v>67</v>
      </c>
      <c r="R30" s="18">
        <v>15</v>
      </c>
      <c r="S30" s="17">
        <v>0</v>
      </c>
      <c r="T30" s="18">
        <f t="shared" si="21"/>
        <v>0</v>
      </c>
      <c r="U30" s="29"/>
      <c r="V30" s="29"/>
    </row>
    <row r="31" spans="1:22" ht="19.350000000000001" customHeight="1" thickBot="1">
      <c r="A31" s="7"/>
      <c r="P31" s="7"/>
      <c r="Q31" s="111" t="s">
        <v>68</v>
      </c>
      <c r="R31" s="22"/>
      <c r="S31" s="22"/>
      <c r="T31" s="22"/>
      <c r="U31" s="29"/>
      <c r="V31" s="29"/>
    </row>
    <row r="32" spans="1:22" ht="19.350000000000001" customHeight="1" thickTop="1">
      <c r="A32" s="7"/>
      <c r="P32" s="7"/>
      <c r="Q32" s="31"/>
      <c r="R32" s="20" t="s">
        <v>69</v>
      </c>
      <c r="S32" s="218">
        <f>SUM(T11:T30)</f>
        <v>0</v>
      </c>
      <c r="T32" s="218"/>
      <c r="U32" s="7"/>
      <c r="V32" s="29"/>
    </row>
    <row r="33" spans="1:22" ht="19.350000000000001" customHeight="1">
      <c r="A33" s="7"/>
      <c r="P33" s="7"/>
      <c r="Q33" s="29"/>
      <c r="R33" s="29"/>
      <c r="S33" s="7"/>
      <c r="T33" s="29"/>
      <c r="U33" s="7"/>
      <c r="V33" s="7"/>
    </row>
    <row r="34" spans="1:22">
      <c r="A34" s="7"/>
      <c r="P34" s="7"/>
      <c r="Q34" s="7"/>
      <c r="R34" s="7"/>
      <c r="S34" s="7"/>
      <c r="T34" s="7"/>
      <c r="U34" s="7"/>
      <c r="V34" s="7"/>
    </row>
    <row r="35" spans="1:22">
      <c r="A35" s="7"/>
      <c r="P35" s="7"/>
      <c r="Q35" s="7"/>
      <c r="R35" s="7"/>
      <c r="S35" s="7"/>
      <c r="T35" s="7"/>
      <c r="U35" s="7"/>
      <c r="V35" s="7"/>
    </row>
    <row r="36" spans="1:22">
      <c r="A36" s="7"/>
      <c r="P36" s="7"/>
      <c r="Q36" s="7"/>
      <c r="R36" s="7"/>
      <c r="S36" s="7"/>
      <c r="T36" s="7"/>
      <c r="U36" s="7"/>
      <c r="V36" s="7"/>
    </row>
    <row r="37" spans="1:22">
      <c r="Q37" s="7"/>
      <c r="R37" s="7"/>
      <c r="S37" s="7"/>
      <c r="T37" s="7"/>
      <c r="U37" s="7"/>
      <c r="V37" s="7"/>
    </row>
    <row r="38" spans="1:22">
      <c r="Q38" s="7"/>
      <c r="R38" s="7"/>
      <c r="S38" s="7"/>
      <c r="T38" s="7"/>
      <c r="U38" s="7"/>
      <c r="V38" s="7"/>
    </row>
    <row r="39" spans="1:22">
      <c r="Q39" s="7"/>
      <c r="R39" s="7"/>
      <c r="S39" s="7"/>
      <c r="T39" s="7"/>
      <c r="U39" s="7"/>
      <c r="V39" s="7"/>
    </row>
    <row r="40" spans="1:22">
      <c r="Q40" s="7"/>
      <c r="R40" s="7"/>
      <c r="S40" s="7"/>
      <c r="T40" s="7"/>
      <c r="U40" s="7"/>
      <c r="V40" s="7"/>
    </row>
    <row r="41" spans="1:22">
      <c r="Q41" s="23"/>
      <c r="R41" s="7"/>
      <c r="S41" s="7"/>
      <c r="T41" s="7"/>
      <c r="U41" s="7"/>
      <c r="V41" s="7"/>
    </row>
    <row r="42" spans="1:22">
      <c r="Q42" s="7"/>
      <c r="R42" s="7"/>
      <c r="S42" s="7"/>
      <c r="T42" s="7"/>
      <c r="U42" s="7"/>
      <c r="V42" s="7"/>
    </row>
    <row r="43" spans="1:22">
      <c r="Q43" s="7"/>
      <c r="R43" s="7"/>
      <c r="S43" s="7"/>
      <c r="T43" s="7"/>
      <c r="U43" s="7"/>
      <c r="V43" s="7"/>
    </row>
    <row r="44" spans="1:22">
      <c r="Q44" s="7"/>
      <c r="R44" s="7"/>
      <c r="S44" s="7"/>
      <c r="T44" s="7"/>
      <c r="U44" s="7"/>
      <c r="V44" s="7"/>
    </row>
    <row r="45" spans="1:22">
      <c r="Q45" s="7"/>
      <c r="R45" s="7"/>
      <c r="S45" s="7"/>
      <c r="T45" s="7"/>
      <c r="U45" s="7"/>
    </row>
    <row r="46" spans="1:22">
      <c r="Q46" s="7"/>
      <c r="R46" s="7"/>
      <c r="S46" s="7"/>
      <c r="T46" s="7"/>
      <c r="U46" s="7"/>
    </row>
    <row r="47" spans="1:22">
      <c r="Q47" s="7"/>
      <c r="R47" s="7"/>
      <c r="S47" s="7"/>
      <c r="T47" s="7"/>
      <c r="U47" s="7"/>
    </row>
    <row r="48" spans="1:22">
      <c r="Q48" s="7"/>
      <c r="R48" s="7"/>
      <c r="T48" s="7"/>
      <c r="U48" s="7"/>
    </row>
    <row r="49" spans="17:21">
      <c r="Q49" s="7"/>
      <c r="R49" s="7"/>
      <c r="T49" s="7"/>
      <c r="U49" s="7"/>
    </row>
    <row r="50" spans="17:21">
      <c r="Q50" s="7"/>
      <c r="R50" s="7"/>
      <c r="T50" s="7"/>
    </row>
    <row r="51" spans="17:21">
      <c r="Q51" s="7"/>
      <c r="R51" s="7"/>
      <c r="T51" s="7"/>
    </row>
  </sheetData>
  <sheetProtection algorithmName="SHA-512" hashValue="XPJ4mGZiLN88koHFYR3W6qsJoO95UZ/xlvP8KM/Sa/6bA2Vi4BjXKkNl7WUf5k+s9UaNy6XQLbcN6LRQCfkGuA==" saltValue="H6i78EAuBhqYMFamUVEH0g==" spinCount="100000" sheet="1" objects="1" scenarios="1"/>
  <mergeCells count="21">
    <mergeCell ref="B26:O26"/>
    <mergeCell ref="S32:T32"/>
    <mergeCell ref="E13:F13"/>
    <mergeCell ref="E14:F14"/>
    <mergeCell ref="E15:F15"/>
    <mergeCell ref="E16:F16"/>
    <mergeCell ref="E19:F19"/>
    <mergeCell ref="B20:O21"/>
    <mergeCell ref="B23:O25"/>
    <mergeCell ref="E17:F17"/>
    <mergeCell ref="E18:F18"/>
    <mergeCell ref="U4:U6"/>
    <mergeCell ref="B2:O3"/>
    <mergeCell ref="B4:O6"/>
    <mergeCell ref="E11:F11"/>
    <mergeCell ref="E12:F12"/>
    <mergeCell ref="B7:O7"/>
    <mergeCell ref="E8:F8"/>
    <mergeCell ref="E9:F9"/>
    <mergeCell ref="G9:O9"/>
    <mergeCell ref="C11:D11"/>
  </mergeCells>
  <hyperlinks>
    <hyperlink ref="B26:O26" r:id="rId1" display="learn more" xr:uid="{70049EF1-2A96-441B-A8AF-A9A765CCFD13}"/>
    <hyperlink ref="C11:D11" location="'Little QT'!A1" display="See tab for &quot;Little QT&quot;" xr:uid="{7ADC3680-AE90-462D-A2DC-65B5D415D431}"/>
  </hyperlinks>
  <pageMargins left="0.25" right="0.25" top="0.75" bottom="0.75" header="0.3" footer="0.3"/>
  <pageSetup paperSize="9" orientation="landscape"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82888-1D4B-4D05-A0EB-525F8A4622FA}">
  <sheetPr codeName="Sheet8"/>
  <dimension ref="A1:K40"/>
  <sheetViews>
    <sheetView showGridLines="0" topLeftCell="A7" workbookViewId="0"/>
  </sheetViews>
  <sheetFormatPr defaultRowHeight="14.25"/>
  <cols>
    <col min="1" max="1" width="3.86328125" customWidth="1"/>
    <col min="2" max="5" width="10.265625" customWidth="1"/>
    <col min="6" max="6" width="3.86328125" customWidth="1"/>
    <col min="7" max="9" width="14.73046875" customWidth="1"/>
    <col min="10" max="10" width="3.86328125" customWidth="1"/>
  </cols>
  <sheetData>
    <row r="1" spans="1:11">
      <c r="A1" s="25"/>
      <c r="B1" s="25"/>
      <c r="C1" s="25"/>
      <c r="D1" s="25"/>
      <c r="E1" s="25"/>
      <c r="F1" s="25"/>
      <c r="G1" s="25"/>
      <c r="H1" s="25"/>
      <c r="I1" s="25"/>
      <c r="J1" s="25"/>
      <c r="K1" s="25"/>
    </row>
    <row r="2" spans="1:11" ht="19.149999999999999" customHeight="1">
      <c r="A2" s="7"/>
      <c r="B2" s="196" t="s">
        <v>138</v>
      </c>
      <c r="C2" s="196"/>
      <c r="D2" s="196"/>
      <c r="E2" s="196"/>
      <c r="F2" s="196"/>
      <c r="G2" s="196"/>
      <c r="H2" s="196"/>
      <c r="I2" s="196"/>
      <c r="J2" s="7"/>
      <c r="K2" s="7"/>
    </row>
    <row r="3" spans="1:11" ht="19.149999999999999" customHeight="1">
      <c r="A3" s="7"/>
      <c r="B3" s="196"/>
      <c r="C3" s="196"/>
      <c r="D3" s="196"/>
      <c r="E3" s="196"/>
      <c r="F3" s="196"/>
      <c r="G3" s="196"/>
      <c r="H3" s="196"/>
      <c r="I3" s="196"/>
      <c r="J3" s="7"/>
      <c r="K3" s="7"/>
    </row>
    <row r="4" spans="1:11" ht="19.149999999999999" customHeight="1">
      <c r="A4" s="7"/>
      <c r="B4" s="197" t="s">
        <v>403</v>
      </c>
      <c r="C4" s="197"/>
      <c r="D4" s="197"/>
      <c r="E4" s="197"/>
      <c r="F4" s="197"/>
      <c r="G4" s="197"/>
      <c r="H4" s="197"/>
      <c r="I4" s="197"/>
      <c r="J4" s="7"/>
      <c r="K4" s="7"/>
    </row>
    <row r="5" spans="1:11" ht="19.149999999999999" customHeight="1">
      <c r="A5" s="7"/>
      <c r="B5" s="197"/>
      <c r="C5" s="197"/>
      <c r="D5" s="197"/>
      <c r="E5" s="197"/>
      <c r="F5" s="197"/>
      <c r="G5" s="197"/>
      <c r="H5" s="197"/>
      <c r="I5" s="197"/>
      <c r="J5" s="7"/>
      <c r="K5" s="7"/>
    </row>
    <row r="6" spans="1:11" ht="19.149999999999999" customHeight="1">
      <c r="A6" s="7"/>
      <c r="B6" s="197"/>
      <c r="C6" s="197"/>
      <c r="D6" s="197"/>
      <c r="E6" s="197"/>
      <c r="F6" s="197"/>
      <c r="G6" s="197"/>
      <c r="H6" s="197"/>
      <c r="I6" s="197"/>
      <c r="J6" s="7"/>
      <c r="K6" s="7"/>
    </row>
    <row r="7" spans="1:11" ht="19.149999999999999" customHeight="1">
      <c r="A7" s="7"/>
      <c r="B7" s="197"/>
      <c r="C7" s="197"/>
      <c r="D7" s="197"/>
      <c r="E7" s="197"/>
      <c r="F7" s="197"/>
      <c r="G7" s="197"/>
      <c r="H7" s="197"/>
      <c r="I7" s="197"/>
      <c r="J7" s="7"/>
      <c r="K7" s="7"/>
    </row>
    <row r="8" spans="1:11" ht="19.149999999999999" customHeight="1">
      <c r="A8" s="7"/>
      <c r="B8" s="197"/>
      <c r="C8" s="197"/>
      <c r="D8" s="197"/>
      <c r="E8" s="197"/>
      <c r="F8" s="197"/>
      <c r="G8" s="197"/>
      <c r="H8" s="197"/>
      <c r="I8" s="197"/>
      <c r="J8" s="7"/>
      <c r="K8" s="7"/>
    </row>
    <row r="9" spans="1:11" ht="19.149999999999999" customHeight="1">
      <c r="A9" s="9"/>
      <c r="B9" s="9"/>
      <c r="C9" s="9"/>
      <c r="D9" s="9"/>
      <c r="E9" s="8"/>
      <c r="F9" s="8"/>
      <c r="G9" s="8"/>
      <c r="H9" s="8"/>
      <c r="I9" s="93"/>
      <c r="J9" s="9"/>
      <c r="K9" s="9"/>
    </row>
    <row r="10" spans="1:11" ht="38.65" customHeight="1" thickBot="1">
      <c r="A10" s="7"/>
      <c r="B10" s="223" t="s">
        <v>139</v>
      </c>
      <c r="C10" s="224"/>
      <c r="D10" s="224"/>
      <c r="E10" s="224"/>
      <c r="F10" s="55"/>
      <c r="G10" s="55" t="s">
        <v>140</v>
      </c>
      <c r="H10" s="55" t="s">
        <v>141</v>
      </c>
      <c r="I10" s="55" t="s">
        <v>142</v>
      </c>
      <c r="J10" s="7"/>
      <c r="K10" s="7"/>
    </row>
    <row r="11" spans="1:11" ht="19.149999999999999" customHeight="1">
      <c r="A11" s="7"/>
      <c r="B11" s="225" t="s">
        <v>144</v>
      </c>
      <c r="C11" s="225"/>
      <c r="D11" s="225"/>
      <c r="E11" s="225"/>
      <c r="F11" s="231" t="s">
        <v>143</v>
      </c>
      <c r="G11" s="94" t="s">
        <v>147</v>
      </c>
      <c r="H11" s="94">
        <v>125</v>
      </c>
      <c r="I11" s="95">
        <v>135</v>
      </c>
      <c r="J11" s="7"/>
      <c r="K11" s="7"/>
    </row>
    <row r="12" spans="1:11" ht="19.149999999999999" customHeight="1">
      <c r="A12" s="7"/>
      <c r="B12" s="225"/>
      <c r="C12" s="225"/>
      <c r="D12" s="225"/>
      <c r="E12" s="225"/>
      <c r="F12" s="220"/>
      <c r="G12" s="94" t="s">
        <v>148</v>
      </c>
      <c r="H12" s="94">
        <v>200</v>
      </c>
      <c r="I12" s="95">
        <v>220</v>
      </c>
      <c r="J12" s="7"/>
      <c r="K12" s="7"/>
    </row>
    <row r="13" spans="1:11" ht="19.149999999999999" customHeight="1">
      <c r="A13" s="7"/>
      <c r="B13" s="225"/>
      <c r="C13" s="225"/>
      <c r="D13" s="225"/>
      <c r="E13" s="225"/>
      <c r="F13" s="220"/>
      <c r="G13" s="94" t="s">
        <v>404</v>
      </c>
      <c r="H13" s="94">
        <v>300</v>
      </c>
      <c r="I13" s="95">
        <v>330</v>
      </c>
      <c r="J13" s="7"/>
      <c r="K13" s="7"/>
    </row>
    <row r="14" spans="1:11" ht="19.149999999999999" customHeight="1">
      <c r="A14" s="7"/>
      <c r="B14" s="225"/>
      <c r="C14" s="225"/>
      <c r="D14" s="225"/>
      <c r="E14" s="225"/>
      <c r="F14" s="220"/>
      <c r="G14" s="94"/>
      <c r="H14" s="94"/>
      <c r="I14" s="95"/>
      <c r="J14" s="7"/>
      <c r="K14" s="7"/>
    </row>
    <row r="15" spans="1:11" ht="19.149999999999999" customHeight="1">
      <c r="A15" s="7"/>
      <c r="B15" s="226"/>
      <c r="C15" s="227" t="s">
        <v>145</v>
      </c>
      <c r="D15" s="227"/>
      <c r="E15" s="227"/>
      <c r="F15" s="220"/>
      <c r="G15" s="94" t="s">
        <v>149</v>
      </c>
      <c r="H15" s="94">
        <v>105</v>
      </c>
      <c r="I15" s="95">
        <v>115</v>
      </c>
      <c r="J15" s="7"/>
      <c r="K15" s="7"/>
    </row>
    <row r="16" spans="1:11" ht="19.149999999999999" customHeight="1">
      <c r="A16" s="7"/>
      <c r="B16" s="226"/>
      <c r="C16" s="227"/>
      <c r="D16" s="227"/>
      <c r="E16" s="227"/>
      <c r="F16" s="220"/>
      <c r="G16" s="94" t="s">
        <v>150</v>
      </c>
      <c r="H16" s="94">
        <v>185</v>
      </c>
      <c r="I16" s="95">
        <v>205</v>
      </c>
      <c r="J16" s="7"/>
      <c r="K16" s="7"/>
    </row>
    <row r="17" spans="1:11" ht="19.149999999999999" customHeight="1">
      <c r="A17" s="7"/>
      <c r="B17" s="226"/>
      <c r="C17" s="227"/>
      <c r="D17" s="227"/>
      <c r="E17" s="227"/>
      <c r="F17" s="220"/>
      <c r="G17" s="94" t="s">
        <v>405</v>
      </c>
      <c r="H17" s="94">
        <v>277.5</v>
      </c>
      <c r="I17" s="95">
        <v>307.5</v>
      </c>
      <c r="J17" s="7"/>
      <c r="K17" s="7"/>
    </row>
    <row r="18" spans="1:11" ht="19.149999999999999" customHeight="1">
      <c r="A18" s="7"/>
      <c r="B18" s="226"/>
      <c r="C18" s="227"/>
      <c r="D18" s="227"/>
      <c r="E18" s="227"/>
      <c r="F18" s="220"/>
      <c r="G18" s="94"/>
      <c r="H18" s="94"/>
      <c r="I18" s="95"/>
      <c r="J18" s="7"/>
      <c r="K18" s="7"/>
    </row>
    <row r="19" spans="1:11" ht="19.149999999999999" customHeight="1">
      <c r="A19" s="7"/>
      <c r="B19" s="226"/>
      <c r="C19" s="228"/>
      <c r="D19" s="229" t="s">
        <v>146</v>
      </c>
      <c r="E19" s="229"/>
      <c r="F19" s="220"/>
      <c r="G19" s="94" t="s">
        <v>151</v>
      </c>
      <c r="H19" s="94">
        <v>95</v>
      </c>
      <c r="I19" s="95">
        <v>105</v>
      </c>
      <c r="J19" s="7"/>
      <c r="K19" s="7"/>
    </row>
    <row r="20" spans="1:11" ht="19.149999999999999" customHeight="1">
      <c r="A20" s="7"/>
      <c r="B20" s="226"/>
      <c r="C20" s="228"/>
      <c r="D20" s="229"/>
      <c r="E20" s="229"/>
      <c r="F20" s="220"/>
      <c r="G20" s="94" t="s">
        <v>152</v>
      </c>
      <c r="H20" s="94">
        <v>165</v>
      </c>
      <c r="I20" s="95">
        <v>185</v>
      </c>
      <c r="J20" s="7"/>
      <c r="K20" s="7"/>
    </row>
    <row r="21" spans="1:11" ht="19.149999999999999" customHeight="1">
      <c r="A21" s="7"/>
      <c r="B21" s="118"/>
      <c r="C21" s="119"/>
      <c r="D21" s="229"/>
      <c r="E21" s="229"/>
      <c r="F21" s="220"/>
      <c r="G21" s="94" t="s">
        <v>406</v>
      </c>
      <c r="H21" s="94">
        <v>246</v>
      </c>
      <c r="I21" s="95">
        <v>276</v>
      </c>
      <c r="J21" s="7"/>
      <c r="K21" s="7"/>
    </row>
    <row r="22" spans="1:11" ht="19.149999999999999" customHeight="1">
      <c r="A22" s="7"/>
      <c r="B22" s="118"/>
      <c r="C22" s="119"/>
      <c r="D22" s="229"/>
      <c r="E22" s="229"/>
      <c r="F22" s="220"/>
      <c r="G22" s="94"/>
      <c r="H22" s="94"/>
      <c r="I22" s="95"/>
      <c r="J22" s="7"/>
      <c r="K22" s="7"/>
    </row>
    <row r="23" spans="1:11" ht="19.149999999999999" customHeight="1">
      <c r="A23" s="7"/>
      <c r="B23" s="118"/>
      <c r="C23" s="119"/>
      <c r="D23" s="71"/>
      <c r="E23" s="225" t="s">
        <v>203</v>
      </c>
      <c r="F23" s="220"/>
      <c r="G23" s="94" t="s">
        <v>201</v>
      </c>
      <c r="H23" s="94">
        <v>50</v>
      </c>
      <c r="I23" s="95">
        <v>60</v>
      </c>
      <c r="J23" s="7"/>
      <c r="K23" s="7"/>
    </row>
    <row r="24" spans="1:11" ht="19.149999999999999" customHeight="1">
      <c r="A24" s="7"/>
      <c r="B24" s="118"/>
      <c r="C24" s="119"/>
      <c r="D24" s="71"/>
      <c r="E24" s="225"/>
      <c r="F24" s="220"/>
      <c r="G24" s="94" t="s">
        <v>202</v>
      </c>
      <c r="H24" s="94">
        <v>75</v>
      </c>
      <c r="I24" s="95">
        <v>95</v>
      </c>
      <c r="J24" s="7"/>
      <c r="K24" s="7"/>
    </row>
    <row r="25" spans="1:11" ht="19.149999999999999" customHeight="1">
      <c r="A25" s="7"/>
      <c r="B25" s="118"/>
      <c r="C25" s="119"/>
      <c r="D25" s="71"/>
      <c r="E25" s="225"/>
      <c r="F25" s="220"/>
      <c r="G25" s="94" t="s">
        <v>407</v>
      </c>
      <c r="H25" s="94">
        <v>112.5</v>
      </c>
      <c r="I25" s="95">
        <v>142.5</v>
      </c>
      <c r="J25" s="7"/>
      <c r="K25" s="7"/>
    </row>
    <row r="26" spans="1:11" ht="19.149999999999999" customHeight="1">
      <c r="A26" s="7"/>
      <c r="B26" s="7"/>
      <c r="C26" s="7"/>
      <c r="D26" s="7"/>
      <c r="E26" s="21"/>
      <c r="F26" s="186"/>
      <c r="G26" s="21"/>
      <c r="H26" s="21"/>
      <c r="I26" s="21"/>
      <c r="J26" s="7"/>
      <c r="K26" s="7"/>
    </row>
    <row r="27" spans="1:11" ht="19.149999999999999" customHeight="1">
      <c r="A27" s="7"/>
      <c r="B27" s="230" t="s">
        <v>410</v>
      </c>
      <c r="C27" s="230"/>
      <c r="D27" s="230"/>
      <c r="E27" s="230"/>
      <c r="F27" s="220" t="s">
        <v>143</v>
      </c>
      <c r="G27" s="94" t="s">
        <v>153</v>
      </c>
      <c r="H27" s="94">
        <v>105</v>
      </c>
      <c r="I27" s="95">
        <v>115</v>
      </c>
      <c r="J27" s="7"/>
      <c r="K27" s="7"/>
    </row>
    <row r="28" spans="1:11" ht="19.149999999999999" customHeight="1">
      <c r="A28" s="7"/>
      <c r="B28" s="230"/>
      <c r="C28" s="230"/>
      <c r="D28" s="230"/>
      <c r="E28" s="230"/>
      <c r="F28" s="220"/>
      <c r="G28" s="94" t="s">
        <v>154</v>
      </c>
      <c r="H28" s="94">
        <v>185</v>
      </c>
      <c r="I28" s="95">
        <v>205</v>
      </c>
      <c r="J28" s="7"/>
      <c r="K28" s="7"/>
    </row>
    <row r="29" spans="1:11" ht="19.149999999999999" customHeight="1">
      <c r="A29" s="7"/>
      <c r="B29" s="230"/>
      <c r="C29" s="230"/>
      <c r="D29" s="230"/>
      <c r="E29" s="230"/>
      <c r="F29" s="220"/>
      <c r="G29" s="94" t="s">
        <v>409</v>
      </c>
      <c r="H29" s="94">
        <v>277.5</v>
      </c>
      <c r="I29" s="95">
        <v>307.5</v>
      </c>
      <c r="J29" s="7"/>
      <c r="K29" s="7"/>
    </row>
    <row r="30" spans="1:11" ht="19.149999999999999" customHeight="1">
      <c r="A30" s="7"/>
      <c r="B30" s="230"/>
      <c r="C30" s="230"/>
      <c r="D30" s="230"/>
      <c r="E30" s="230"/>
      <c r="F30" s="220"/>
      <c r="H30" s="21"/>
      <c r="I30" s="21"/>
      <c r="J30" s="7"/>
      <c r="K30" s="7"/>
    </row>
    <row r="31" spans="1:11" ht="19.149999999999999" customHeight="1">
      <c r="A31" s="7"/>
      <c r="B31" s="127"/>
      <c r="C31" s="127"/>
      <c r="D31" s="127"/>
      <c r="E31" s="225" t="s">
        <v>273</v>
      </c>
      <c r="F31" s="220"/>
      <c r="G31" s="94" t="s">
        <v>274</v>
      </c>
      <c r="H31" s="94">
        <v>75</v>
      </c>
      <c r="I31" s="95">
        <v>85</v>
      </c>
      <c r="J31" s="7"/>
      <c r="K31" s="7"/>
    </row>
    <row r="32" spans="1:11" ht="19.149999999999999" customHeight="1">
      <c r="A32" s="7"/>
      <c r="B32" s="127"/>
      <c r="C32" s="127"/>
      <c r="D32" s="127"/>
      <c r="E32" s="225"/>
      <c r="F32" s="220"/>
      <c r="G32" s="94" t="s">
        <v>275</v>
      </c>
      <c r="H32" s="94">
        <v>125</v>
      </c>
      <c r="I32" s="95">
        <v>145</v>
      </c>
      <c r="J32" s="7"/>
      <c r="K32" s="7"/>
    </row>
    <row r="33" spans="1:11" ht="19.149999999999999" customHeight="1" thickBot="1">
      <c r="A33" s="7"/>
      <c r="B33" s="127"/>
      <c r="C33" s="127"/>
      <c r="D33" s="127"/>
      <c r="E33" s="225"/>
      <c r="F33" s="221"/>
      <c r="G33" s="94" t="s">
        <v>408</v>
      </c>
      <c r="H33" s="94">
        <v>187.5</v>
      </c>
      <c r="I33" s="95">
        <v>217.5</v>
      </c>
      <c r="J33" s="7"/>
      <c r="K33" s="7"/>
    </row>
    <row r="34" spans="1:11" ht="19.149999999999999" customHeight="1">
      <c r="A34" s="7"/>
      <c r="B34" s="96"/>
      <c r="C34" s="96"/>
      <c r="D34" s="96"/>
      <c r="E34" s="92"/>
      <c r="F34" s="92"/>
      <c r="G34" s="92"/>
      <c r="H34" s="92"/>
      <c r="I34" s="92"/>
      <c r="J34" s="7"/>
      <c r="K34" s="7"/>
    </row>
    <row r="35" spans="1:11" ht="19.149999999999999" customHeight="1">
      <c r="A35" s="7"/>
      <c r="B35" s="197" t="s">
        <v>276</v>
      </c>
      <c r="C35" s="197"/>
      <c r="D35" s="197"/>
      <c r="E35" s="197"/>
      <c r="F35" s="197"/>
      <c r="G35" s="197"/>
      <c r="H35" s="197"/>
      <c r="I35" s="197"/>
      <c r="J35" s="7"/>
      <c r="K35" s="7"/>
    </row>
    <row r="36" spans="1:11" ht="19.149999999999999" customHeight="1">
      <c r="A36" s="7"/>
      <c r="B36" s="197"/>
      <c r="C36" s="197"/>
      <c r="D36" s="197"/>
      <c r="E36" s="197"/>
      <c r="F36" s="197"/>
      <c r="G36" s="197"/>
      <c r="H36" s="197"/>
      <c r="I36" s="197"/>
      <c r="J36" s="7"/>
      <c r="K36" s="7"/>
    </row>
    <row r="37" spans="1:11" ht="19.149999999999999" customHeight="1">
      <c r="A37" s="29"/>
      <c r="B37" s="197"/>
      <c r="C37" s="197"/>
      <c r="D37" s="197"/>
      <c r="E37" s="197"/>
      <c r="F37" s="197"/>
      <c r="G37" s="197"/>
      <c r="H37" s="197"/>
      <c r="I37" s="197"/>
      <c r="J37" s="29"/>
      <c r="K37" s="29"/>
    </row>
    <row r="38" spans="1:11" ht="19.149999999999999" customHeight="1">
      <c r="A38" s="29"/>
      <c r="B38" s="222" t="s">
        <v>66</v>
      </c>
      <c r="C38" s="222"/>
      <c r="D38" s="222"/>
      <c r="E38" s="222"/>
      <c r="F38" s="222"/>
      <c r="G38" s="222"/>
      <c r="H38" s="222"/>
      <c r="I38" s="222"/>
      <c r="J38" s="29"/>
      <c r="K38" s="29"/>
    </row>
    <row r="39" spans="1:11" ht="19.149999999999999" customHeight="1">
      <c r="A39" s="29"/>
      <c r="B39" s="29"/>
      <c r="C39" s="29"/>
      <c r="D39" s="29"/>
      <c r="E39" s="25"/>
      <c r="F39" s="25"/>
      <c r="G39" s="25"/>
      <c r="H39" s="25"/>
      <c r="I39" s="25"/>
      <c r="J39" s="29"/>
      <c r="K39" s="29"/>
    </row>
    <row r="40" spans="1:11">
      <c r="A40" s="29"/>
      <c r="B40" s="7"/>
      <c r="C40" s="7"/>
      <c r="D40" s="7"/>
      <c r="E40" s="25"/>
      <c r="F40" s="25"/>
      <c r="G40" s="25"/>
      <c r="H40" s="25"/>
      <c r="I40" s="25"/>
      <c r="J40" s="29"/>
      <c r="K40" s="29"/>
    </row>
  </sheetData>
  <sheetProtection algorithmName="SHA-512" hashValue="c9LDwaYP2jLbhMgur/GSGQoaImVv9i6k9TOl0CmjsUDwJ3siflFt+zIIjXDOkvlwXppczY9Sx+jzF9dQY+Pu5A==" saltValue="LP7yA2MYcbdJ1Y+bwY3tUQ==" spinCount="100000" sheet="1" objects="1" scenarios="1"/>
  <mergeCells count="15">
    <mergeCell ref="F27:F33"/>
    <mergeCell ref="B35:I37"/>
    <mergeCell ref="B38:I38"/>
    <mergeCell ref="B2:I3"/>
    <mergeCell ref="B4:I8"/>
    <mergeCell ref="B10:E10"/>
    <mergeCell ref="B11:E14"/>
    <mergeCell ref="B15:B20"/>
    <mergeCell ref="C15:E18"/>
    <mergeCell ref="C19:C20"/>
    <mergeCell ref="D19:E22"/>
    <mergeCell ref="E31:E33"/>
    <mergeCell ref="B27:E30"/>
    <mergeCell ref="E23:E25"/>
    <mergeCell ref="F11:F25"/>
  </mergeCells>
  <hyperlinks>
    <hyperlink ref="B38:G38" r:id="rId1" display="learn more" xr:uid="{BED8BCEF-00EB-4751-8519-110C47F1D1AE}"/>
  </hyperlinks>
  <pageMargins left="0.25" right="0.25"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45EF-10CA-402B-BD11-066D44E57BE8}">
  <sheetPr>
    <pageSetUpPr fitToPage="1"/>
  </sheetPr>
  <dimension ref="A2:V43"/>
  <sheetViews>
    <sheetView showGridLines="0" topLeftCell="A3" workbookViewId="0"/>
  </sheetViews>
  <sheetFormatPr defaultColWidth="8.59765625" defaultRowHeight="14.25"/>
  <cols>
    <col min="1" max="1" width="3.86328125" style="25" customWidth="1"/>
    <col min="2" max="4" width="14.73046875" style="25" customWidth="1"/>
    <col min="5" max="5" width="5.59765625" style="25" customWidth="1"/>
    <col min="6" max="6" width="7.265625" style="25" customWidth="1"/>
    <col min="7" max="7" width="10.265625" style="25" customWidth="1"/>
    <col min="8" max="14" width="10.265625" customWidth="1"/>
    <col min="15" max="15" width="15" style="25" customWidth="1"/>
    <col min="16" max="16" width="3.86328125" style="25" customWidth="1"/>
    <col min="17" max="17" width="29" style="25" customWidth="1"/>
    <col min="18" max="18" width="8.59765625" style="25"/>
    <col min="19" max="19" width="10.265625" customWidth="1"/>
    <col min="20" max="20" width="9.265625" customWidth="1"/>
    <col min="21" max="16384" width="8.59765625" style="25"/>
  </cols>
  <sheetData>
    <row r="2" spans="2:21" s="7" customFormat="1" ht="18.75" customHeight="1" thickBot="1">
      <c r="B2" s="234" t="s">
        <v>84</v>
      </c>
      <c r="C2" s="233"/>
      <c r="D2" s="233"/>
      <c r="E2" s="233"/>
      <c r="F2" s="233"/>
      <c r="G2" s="233"/>
      <c r="H2" s="233"/>
      <c r="I2" s="233"/>
      <c r="J2" s="233"/>
      <c r="K2" s="233"/>
      <c r="L2" s="233"/>
      <c r="M2" s="233"/>
      <c r="N2" s="233"/>
      <c r="O2" s="233"/>
      <c r="Q2" s="156" t="s">
        <v>22</v>
      </c>
      <c r="R2" s="157"/>
      <c r="S2" s="11"/>
      <c r="T2" s="11"/>
    </row>
    <row r="3" spans="2:21" s="7" customFormat="1" ht="18.75" customHeight="1">
      <c r="B3" s="233"/>
      <c r="C3" s="233"/>
      <c r="D3" s="233"/>
      <c r="E3" s="233"/>
      <c r="F3" s="233"/>
      <c r="G3" s="233"/>
      <c r="H3" s="233"/>
      <c r="I3" s="233"/>
      <c r="J3" s="233"/>
      <c r="K3" s="233"/>
      <c r="L3" s="233"/>
      <c r="M3" s="233"/>
      <c r="N3" s="233"/>
      <c r="O3" s="233"/>
      <c r="Q3" s="158" t="s">
        <v>70</v>
      </c>
      <c r="R3" s="158"/>
      <c r="S3" s="159">
        <v>10</v>
      </c>
      <c r="T3" s="7" t="s">
        <v>23</v>
      </c>
      <c r="U3" s="160" t="s">
        <v>378</v>
      </c>
    </row>
    <row r="4" spans="2:21" s="7" customFormat="1" ht="18.75" customHeight="1">
      <c r="B4" s="232" t="s">
        <v>377</v>
      </c>
      <c r="C4" s="233"/>
      <c r="D4" s="233"/>
      <c r="E4" s="233"/>
      <c r="F4" s="233"/>
      <c r="G4" s="233"/>
      <c r="H4" s="233"/>
      <c r="I4" s="233"/>
      <c r="J4" s="233"/>
      <c r="K4" s="233"/>
      <c r="L4" s="233"/>
      <c r="M4" s="233"/>
      <c r="N4" s="233"/>
      <c r="O4" s="233"/>
      <c r="Q4" s="161" t="s">
        <v>26</v>
      </c>
      <c r="R4" s="161"/>
      <c r="S4" s="162">
        <v>1</v>
      </c>
      <c r="T4" s="163" t="s">
        <v>27</v>
      </c>
      <c r="U4" s="235" t="s">
        <v>28</v>
      </c>
    </row>
    <row r="5" spans="2:21" s="7" customFormat="1" ht="18.75" customHeight="1">
      <c r="B5" s="233"/>
      <c r="C5" s="233"/>
      <c r="D5" s="233"/>
      <c r="E5" s="233"/>
      <c r="F5" s="233"/>
      <c r="G5" s="233"/>
      <c r="H5" s="233"/>
      <c r="I5" s="233"/>
      <c r="J5" s="233"/>
      <c r="K5" s="233"/>
      <c r="L5" s="233"/>
      <c r="M5" s="233"/>
      <c r="N5" s="233"/>
      <c r="O5" s="233"/>
      <c r="Q5" s="161" t="s">
        <v>29</v>
      </c>
      <c r="R5" s="161"/>
      <c r="S5" s="162">
        <v>1</v>
      </c>
      <c r="T5" s="163" t="s">
        <v>27</v>
      </c>
      <c r="U5" s="233"/>
    </row>
    <row r="6" spans="2:21" s="7" customFormat="1" ht="18.75" customHeight="1">
      <c r="B6" s="233"/>
      <c r="C6" s="233"/>
      <c r="D6" s="233"/>
      <c r="E6" s="233"/>
      <c r="F6" s="233"/>
      <c r="G6" s="233"/>
      <c r="H6" s="233"/>
      <c r="I6" s="233"/>
      <c r="J6" s="233"/>
      <c r="K6" s="233"/>
      <c r="L6" s="233"/>
      <c r="M6" s="233"/>
      <c r="N6" s="233"/>
      <c r="O6" s="233"/>
      <c r="Q6" s="161" t="s">
        <v>30</v>
      </c>
      <c r="R6" s="161"/>
      <c r="S6" s="162">
        <v>1</v>
      </c>
      <c r="T6" s="163" t="s">
        <v>27</v>
      </c>
      <c r="U6" s="233"/>
    </row>
    <row r="7" spans="2:21" s="165" customFormat="1" ht="34.9" customHeight="1">
      <c r="B7" s="164"/>
      <c r="C7" s="164"/>
      <c r="D7" s="164"/>
      <c r="E7" s="243" t="s">
        <v>379</v>
      </c>
      <c r="F7" s="233"/>
      <c r="I7" s="164"/>
      <c r="J7" s="164"/>
      <c r="K7" s="164"/>
      <c r="L7" s="164"/>
      <c r="M7" s="164"/>
      <c r="N7" s="164"/>
      <c r="O7" s="164"/>
    </row>
    <row r="8" spans="2:21" s="7" customFormat="1" ht="19.45" customHeight="1">
      <c r="E8" s="244" t="s">
        <v>32</v>
      </c>
      <c r="F8" s="233"/>
      <c r="G8" s="236"/>
      <c r="H8" s="233"/>
      <c r="I8" s="233"/>
      <c r="J8" s="233"/>
      <c r="K8" s="233"/>
      <c r="L8" s="233"/>
      <c r="M8" s="233"/>
      <c r="N8" s="233"/>
      <c r="O8" s="233"/>
    </row>
    <row r="9" spans="2:21" s="7" customFormat="1" ht="21.75" customHeight="1" thickBot="1">
      <c r="B9" s="166" t="s">
        <v>34</v>
      </c>
      <c r="C9" s="166" t="s">
        <v>35</v>
      </c>
      <c r="D9" s="166" t="s">
        <v>36</v>
      </c>
      <c r="E9" s="167">
        <f>S3</f>
        <v>10</v>
      </c>
      <c r="F9" s="57" t="s">
        <v>37</v>
      </c>
      <c r="G9" s="166" t="s">
        <v>380</v>
      </c>
      <c r="H9" s="166" t="s">
        <v>92</v>
      </c>
      <c r="I9" s="166" t="s">
        <v>38</v>
      </c>
      <c r="J9" s="166" t="s">
        <v>39</v>
      </c>
      <c r="K9" s="166" t="s">
        <v>40</v>
      </c>
      <c r="L9" s="166" t="s">
        <v>41</v>
      </c>
      <c r="M9" s="166" t="s">
        <v>42</v>
      </c>
      <c r="N9" s="166" t="s">
        <v>43</v>
      </c>
      <c r="O9" s="166" t="s">
        <v>85</v>
      </c>
      <c r="Q9" s="156" t="s">
        <v>47</v>
      </c>
      <c r="R9" s="156"/>
      <c r="S9" s="168" t="s">
        <v>48</v>
      </c>
      <c r="T9" s="169" t="s">
        <v>49</v>
      </c>
    </row>
    <row r="10" spans="2:21" s="7" customFormat="1" ht="19.45" customHeight="1">
      <c r="B10" s="170" t="s">
        <v>54</v>
      </c>
      <c r="C10" s="171">
        <f>60*$S$4</f>
        <v>60</v>
      </c>
      <c r="D10" s="171">
        <f>3.5*$S$5</f>
        <v>3.5</v>
      </c>
      <c r="E10" s="239">
        <f>C10+((MAX($S$3,10)-10)*D10)+($S$15*$S$6)</f>
        <v>60</v>
      </c>
      <c r="F10" s="236"/>
      <c r="G10" s="171">
        <f>C10+($S$15*$S$6)</f>
        <v>60</v>
      </c>
      <c r="H10" s="171">
        <f>C10+($S$15*$S$6)</f>
        <v>60</v>
      </c>
      <c r="I10" s="171">
        <f>C10+((15-10)*D10)+($S$15*$S$6)</f>
        <v>77.5</v>
      </c>
      <c r="J10" s="171">
        <f>C10+((20-10)*D10)+($S$15*$S$6)</f>
        <v>95</v>
      </c>
      <c r="K10" s="171">
        <f>C10+((25-10)*D10)+($S$15*$S$6)</f>
        <v>112.5</v>
      </c>
      <c r="L10" s="171">
        <f>C10+((30-10)*D10)+($S$15*$S$6)</f>
        <v>130</v>
      </c>
      <c r="M10" s="171">
        <f>C10+((35-10)*D10)+($S$15*$S$6)</f>
        <v>147.5</v>
      </c>
      <c r="N10" s="171">
        <f>C10+((40-10)*D10)+($S$15*$S$6)</f>
        <v>165</v>
      </c>
      <c r="O10" s="171">
        <f>C10+((45-10)*D10)+($S$15*$S$6)</f>
        <v>182.5</v>
      </c>
      <c r="Q10" s="172" t="s">
        <v>51</v>
      </c>
      <c r="R10" s="18">
        <v>13</v>
      </c>
      <c r="S10" s="173">
        <v>0</v>
      </c>
      <c r="T10" s="18">
        <f>R10*S10</f>
        <v>0</v>
      </c>
    </row>
    <row r="11" spans="2:21" s="7" customFormat="1" ht="19.45" customHeight="1">
      <c r="B11" s="170" t="s">
        <v>58</v>
      </c>
      <c r="C11" s="171">
        <f>75*$S$4</f>
        <v>75</v>
      </c>
      <c r="D11" s="171">
        <f>4.5*$S$5</f>
        <v>4.5</v>
      </c>
      <c r="E11" s="239">
        <f>C11+((MAX($S$3,10)-10)*D11)+($S$15*$S$6)</f>
        <v>75</v>
      </c>
      <c r="F11" s="236"/>
      <c r="G11" s="171">
        <f>C11+($S$15*$S$6)</f>
        <v>75</v>
      </c>
      <c r="H11" s="171">
        <f>C11+($S$15*$S$6)</f>
        <v>75</v>
      </c>
      <c r="I11" s="171">
        <f>C11+((15-10)*D11)+($S$15*$S$6)</f>
        <v>97.5</v>
      </c>
      <c r="J11" s="171">
        <f>C11+((20-10)*D11)+($S$15*$S$6)</f>
        <v>120</v>
      </c>
      <c r="K11" s="171">
        <f>C11+((25-10)*D11)+($S$15*$S$6)</f>
        <v>142.5</v>
      </c>
      <c r="L11" s="171">
        <f>C11+((30-10)*D11)+($S$15*$S$6)</f>
        <v>165</v>
      </c>
      <c r="M11" s="171">
        <f>C11+((35-10)*D11)+($S$15*$S$6)</f>
        <v>187.5</v>
      </c>
      <c r="N11" s="171">
        <f>C11+((40-10)*D11)+($S$15*$S$6)</f>
        <v>210</v>
      </c>
      <c r="O11" s="171">
        <f>C11+((45-10)*D11)+($S$15*$S$6)</f>
        <v>232.5</v>
      </c>
      <c r="Q11" s="172" t="s">
        <v>86</v>
      </c>
      <c r="R11" s="174">
        <v>55</v>
      </c>
      <c r="S11" s="175">
        <v>0</v>
      </c>
      <c r="T11" s="174">
        <f>R11*S11</f>
        <v>0</v>
      </c>
    </row>
    <row r="12" spans="2:21" s="7" customFormat="1" ht="19.45" customHeight="1" thickBot="1">
      <c r="B12" s="176" t="s">
        <v>60</v>
      </c>
      <c r="C12" s="177">
        <f>95*$S$4</f>
        <v>95</v>
      </c>
      <c r="D12" s="177">
        <f>5*$S$5</f>
        <v>5</v>
      </c>
      <c r="E12" s="240">
        <f>C12+((MAX($S$3,10)-10)*D12)+($S$15*$S$6)</f>
        <v>95</v>
      </c>
      <c r="F12" s="241"/>
      <c r="G12" s="177">
        <f>C12+($S$15*$S$6)</f>
        <v>95</v>
      </c>
      <c r="H12" s="177">
        <f>C12+($S$15*$S$6)</f>
        <v>95</v>
      </c>
      <c r="I12" s="177">
        <f>C12+((15-10)*D12)+($S$15*$S$6)</f>
        <v>120</v>
      </c>
      <c r="J12" s="177">
        <f>C12+((20-10)*D12)+($S$15*$S$6)</f>
        <v>145</v>
      </c>
      <c r="K12" s="177">
        <f>C12+((25-10)*D12)+($S$15*$S$6)</f>
        <v>170</v>
      </c>
      <c r="L12" s="177">
        <f>C12+((30-10)*D12)+($S$15*$S$6)</f>
        <v>195</v>
      </c>
      <c r="M12" s="177">
        <f>C12+((35-10)*D12)+($S$15*$S$6)</f>
        <v>220</v>
      </c>
      <c r="N12" s="177">
        <f>C12+((40-10)*D12)+($S$15*$S$6)</f>
        <v>245</v>
      </c>
      <c r="O12" s="177">
        <f>C12+((45-10)*D12)+($S$15*$S$6)</f>
        <v>270</v>
      </c>
      <c r="Q12" s="178" t="s">
        <v>87</v>
      </c>
      <c r="R12" s="174">
        <v>15</v>
      </c>
      <c r="S12" s="175">
        <v>0</v>
      </c>
      <c r="T12" s="174">
        <f>R12*S12</f>
        <v>0</v>
      </c>
    </row>
    <row r="13" spans="2:21" s="7" customFormat="1" ht="19.45" customHeight="1">
      <c r="B13" s="237" t="s">
        <v>381</v>
      </c>
      <c r="C13" s="233"/>
      <c r="D13" s="233"/>
      <c r="E13" s="233"/>
      <c r="F13" s="233"/>
      <c r="G13" s="233"/>
      <c r="H13" s="233"/>
      <c r="I13" s="233"/>
      <c r="J13" s="233"/>
      <c r="K13" s="233"/>
      <c r="L13" s="233"/>
      <c r="M13" s="233"/>
      <c r="N13" s="233"/>
      <c r="O13" s="233"/>
      <c r="Q13" s="178" t="s">
        <v>62</v>
      </c>
      <c r="R13" s="174">
        <v>18</v>
      </c>
      <c r="S13" s="175">
        <v>0</v>
      </c>
      <c r="T13" s="174">
        <f>R13*S13</f>
        <v>0</v>
      </c>
    </row>
    <row r="14" spans="2:21" s="7" customFormat="1" ht="19.45" customHeight="1" thickBot="1">
      <c r="Q14" s="178"/>
      <c r="R14" s="22"/>
      <c r="S14" s="22"/>
      <c r="T14" s="22"/>
    </row>
    <row r="15" spans="2:21" s="7" customFormat="1" ht="19.45" customHeight="1" thickTop="1">
      <c r="B15" s="242" t="s">
        <v>374</v>
      </c>
      <c r="C15" s="233"/>
      <c r="D15" s="233"/>
      <c r="E15" s="25"/>
      <c r="F15" s="25"/>
      <c r="I15" s="25"/>
      <c r="Q15" s="179"/>
      <c r="R15" s="180" t="s">
        <v>69</v>
      </c>
      <c r="S15" s="238">
        <f>SUM(T10:T14)</f>
        <v>0</v>
      </c>
      <c r="T15" s="236"/>
    </row>
    <row r="16" spans="2:21" s="7" customFormat="1" ht="19.45" customHeight="1">
      <c r="B16" s="233"/>
      <c r="C16" s="233"/>
      <c r="D16" s="233"/>
      <c r="E16" s="25"/>
      <c r="F16" s="25"/>
      <c r="I16" s="25"/>
    </row>
    <row r="17" spans="2:22" s="7" customFormat="1" ht="19.45" customHeight="1">
      <c r="B17" s="232" t="s">
        <v>335</v>
      </c>
      <c r="C17" s="233"/>
      <c r="D17" s="233"/>
      <c r="E17" s="25"/>
      <c r="F17" s="25"/>
      <c r="I17" s="25"/>
    </row>
    <row r="18" spans="2:22" s="7" customFormat="1" ht="19.45" customHeight="1">
      <c r="B18" s="233"/>
      <c r="C18" s="233"/>
      <c r="D18" s="233"/>
      <c r="E18" s="25"/>
      <c r="F18" s="25"/>
      <c r="I18" s="25"/>
    </row>
    <row r="19" spans="2:22" s="7" customFormat="1" ht="19.45" customHeight="1">
      <c r="B19" s="165"/>
      <c r="C19" s="165"/>
      <c r="D19" s="165"/>
      <c r="E19" s="25"/>
      <c r="F19" s="25"/>
      <c r="I19" s="25"/>
    </row>
    <row r="20" spans="2:22" s="7" customFormat="1" ht="19.45" customHeight="1" thickBot="1">
      <c r="B20" s="166" t="s">
        <v>34</v>
      </c>
      <c r="C20" s="166" t="s">
        <v>141</v>
      </c>
      <c r="D20" s="166" t="s">
        <v>142</v>
      </c>
      <c r="E20" s="25"/>
      <c r="F20" s="25"/>
      <c r="I20" s="25"/>
    </row>
    <row r="21" spans="2:22" s="7" customFormat="1" ht="19.45" customHeight="1">
      <c r="B21" s="170" t="s">
        <v>52</v>
      </c>
      <c r="C21" s="181">
        <v>35</v>
      </c>
      <c r="D21" s="181">
        <v>45</v>
      </c>
      <c r="E21" s="25"/>
      <c r="F21" s="25"/>
      <c r="I21" s="25"/>
      <c r="U21" s="182"/>
      <c r="V21" s="182"/>
    </row>
    <row r="22" spans="2:22" s="7" customFormat="1" ht="19.45" customHeight="1">
      <c r="B22" s="170" t="s">
        <v>54</v>
      </c>
      <c r="C22" s="181">
        <v>50</v>
      </c>
      <c r="D22" s="181">
        <v>60</v>
      </c>
      <c r="E22" s="25"/>
      <c r="F22" s="25"/>
      <c r="I22" s="25"/>
      <c r="Q22" s="183"/>
      <c r="U22" s="182"/>
      <c r="V22" s="182"/>
    </row>
    <row r="23" spans="2:22" s="182" customFormat="1" ht="19.45" customHeight="1">
      <c r="B23" s="170" t="s">
        <v>58</v>
      </c>
      <c r="C23" s="181">
        <v>60</v>
      </c>
      <c r="D23" s="181">
        <v>70</v>
      </c>
      <c r="E23" s="25"/>
      <c r="F23" s="25"/>
      <c r="I23" s="25"/>
      <c r="J23" s="7"/>
      <c r="K23" s="7"/>
      <c r="L23" s="7"/>
      <c r="M23" s="7"/>
      <c r="N23" s="7"/>
      <c r="O23" s="7"/>
      <c r="Q23" s="7"/>
      <c r="R23" s="7"/>
      <c r="S23" s="7"/>
      <c r="T23" s="7"/>
    </row>
    <row r="24" spans="2:22" s="182" customFormat="1" ht="19.45" customHeight="1" thickBot="1">
      <c r="B24" s="184" t="s">
        <v>60</v>
      </c>
      <c r="C24" s="185">
        <v>75</v>
      </c>
      <c r="D24" s="185">
        <v>85</v>
      </c>
      <c r="E24" s="25"/>
      <c r="F24" s="25"/>
      <c r="I24" s="25"/>
      <c r="J24" s="7"/>
      <c r="K24" s="7"/>
      <c r="L24" s="7"/>
      <c r="M24" s="7"/>
      <c r="N24" s="7"/>
      <c r="O24" s="7"/>
      <c r="Q24" s="7"/>
      <c r="R24" s="7"/>
      <c r="S24" s="7"/>
      <c r="T24" s="7"/>
      <c r="U24" s="7"/>
      <c r="V24" s="7"/>
    </row>
    <row r="25" spans="2:22" s="182" customFormat="1" ht="19.45" customHeight="1">
      <c r="B25" s="25"/>
      <c r="C25" s="25"/>
      <c r="D25" s="25"/>
      <c r="E25" s="25"/>
      <c r="F25" s="25"/>
      <c r="I25" s="25"/>
      <c r="J25" s="25"/>
      <c r="K25" s="25"/>
      <c r="L25" s="25"/>
      <c r="M25" s="25"/>
      <c r="N25" s="25"/>
      <c r="O25" s="25"/>
      <c r="Q25" s="7"/>
      <c r="R25" s="7"/>
      <c r="S25" s="25"/>
      <c r="T25" s="7"/>
    </row>
    <row r="26" spans="2:22" s="7" customFormat="1" ht="19.45" customHeight="1">
      <c r="B26" s="25"/>
      <c r="C26" s="25"/>
      <c r="D26" s="25"/>
      <c r="E26" s="25"/>
      <c r="F26" s="25"/>
      <c r="I26" s="25"/>
      <c r="J26" s="25"/>
      <c r="K26" s="25"/>
      <c r="L26" s="25"/>
      <c r="M26" s="25"/>
      <c r="N26" s="25"/>
      <c r="O26" s="25"/>
      <c r="S26" s="25"/>
    </row>
    <row r="27" spans="2:22" s="182" customFormat="1" ht="19.45" customHeight="1">
      <c r="B27" s="25"/>
      <c r="C27" s="25"/>
      <c r="D27" s="25"/>
      <c r="E27" s="25"/>
      <c r="F27" s="25"/>
      <c r="I27" s="25"/>
      <c r="J27" s="25"/>
      <c r="K27" s="25"/>
      <c r="L27" s="25"/>
      <c r="M27" s="25"/>
      <c r="N27" s="25"/>
      <c r="O27" s="25"/>
      <c r="Q27" s="7"/>
      <c r="R27" s="7"/>
      <c r="S27" s="25"/>
      <c r="T27" s="7"/>
      <c r="U27" s="7"/>
      <c r="V27" s="7"/>
    </row>
    <row r="28" spans="2:22" s="7" customFormat="1" ht="19.45" customHeight="1">
      <c r="B28" s="25"/>
      <c r="C28" s="25"/>
      <c r="D28" s="25"/>
      <c r="E28" s="25"/>
      <c r="F28" s="25"/>
      <c r="I28" s="25"/>
      <c r="J28" s="25"/>
      <c r="K28" s="25"/>
      <c r="L28" s="25"/>
      <c r="M28" s="25"/>
      <c r="N28" s="25"/>
      <c r="O28" s="25"/>
      <c r="S28" s="25"/>
    </row>
    <row r="29" spans="2:22" s="7" customFormat="1" ht="19.45" customHeight="1">
      <c r="B29" s="25"/>
      <c r="C29" s="25"/>
      <c r="D29" s="25"/>
      <c r="E29" s="25"/>
      <c r="F29" s="25"/>
      <c r="I29" s="25"/>
      <c r="J29" s="25"/>
      <c r="K29" s="25"/>
      <c r="L29" s="25"/>
      <c r="M29" s="25"/>
      <c r="N29" s="25"/>
      <c r="O29" s="25"/>
      <c r="Q29" s="25"/>
      <c r="R29" s="25"/>
      <c r="S29" s="25"/>
      <c r="T29" s="25"/>
    </row>
    <row r="30" spans="2:22" s="7" customFormat="1" ht="19.45" customHeight="1">
      <c r="B30" s="25"/>
      <c r="C30" s="25"/>
      <c r="D30" s="25"/>
      <c r="E30" s="25"/>
      <c r="F30" s="25"/>
      <c r="I30" s="25"/>
      <c r="J30" s="25"/>
      <c r="K30" s="25"/>
      <c r="L30" s="25"/>
      <c r="M30" s="25"/>
      <c r="N30" s="25"/>
      <c r="O30" s="25"/>
      <c r="Q30" s="25"/>
      <c r="R30" s="25"/>
      <c r="S30" s="25"/>
      <c r="T30" s="25"/>
    </row>
    <row r="31" spans="2:22" s="7" customFormat="1" ht="18.75" customHeight="1">
      <c r="B31" s="25"/>
      <c r="C31" s="25"/>
      <c r="D31" s="25"/>
      <c r="E31" s="25"/>
      <c r="F31" s="25"/>
      <c r="I31" s="25"/>
      <c r="J31" s="25"/>
      <c r="K31" s="25"/>
      <c r="L31" s="25"/>
      <c r="M31" s="25"/>
      <c r="N31" s="25"/>
      <c r="O31" s="25"/>
      <c r="Q31" s="25"/>
      <c r="R31" s="25"/>
      <c r="S31" s="25"/>
      <c r="T31" s="25"/>
    </row>
    <row r="32" spans="2:22" s="7" customFormat="1" ht="18.75" customHeight="1">
      <c r="B32" s="25"/>
      <c r="C32" s="25"/>
      <c r="D32" s="25"/>
      <c r="E32" s="25"/>
      <c r="F32" s="25"/>
      <c r="I32" s="25"/>
      <c r="J32" s="25"/>
      <c r="K32" s="25"/>
      <c r="L32" s="25"/>
      <c r="M32" s="25"/>
      <c r="N32" s="25"/>
      <c r="O32" s="25"/>
      <c r="Q32" s="25"/>
      <c r="R32" s="25"/>
      <c r="S32" s="25"/>
      <c r="T32" s="25"/>
    </row>
    <row r="33" spans="1:22" s="7" customFormat="1" ht="18.75" customHeight="1">
      <c r="B33" s="25"/>
      <c r="C33" s="25"/>
      <c r="D33" s="25"/>
      <c r="E33" s="25"/>
      <c r="F33" s="25"/>
      <c r="I33" s="25"/>
      <c r="J33" s="25"/>
      <c r="K33" s="25"/>
      <c r="L33" s="25"/>
      <c r="M33" s="25"/>
      <c r="N33" s="25"/>
      <c r="O33" s="25"/>
      <c r="Q33" s="25"/>
      <c r="R33" s="25"/>
      <c r="S33" s="25"/>
      <c r="T33" s="25"/>
    </row>
    <row r="34" spans="1:22" s="7" customFormat="1" ht="18.75" customHeight="1">
      <c r="B34" s="25"/>
      <c r="C34" s="25"/>
      <c r="D34" s="25"/>
      <c r="E34" s="25"/>
      <c r="F34" s="25"/>
      <c r="I34" s="25"/>
      <c r="J34" s="25"/>
      <c r="K34" s="25"/>
      <c r="L34" s="25"/>
      <c r="M34" s="25"/>
      <c r="N34" s="25"/>
      <c r="O34" s="25"/>
    </row>
    <row r="35" spans="1:22" s="7" customFormat="1" ht="18.75" customHeight="1">
      <c r="B35" s="25"/>
      <c r="C35" s="25"/>
      <c r="D35" s="25"/>
      <c r="E35" s="25"/>
      <c r="F35" s="25"/>
      <c r="I35" s="25"/>
      <c r="J35" s="25"/>
      <c r="K35" s="25"/>
      <c r="L35" s="25"/>
      <c r="M35" s="25"/>
      <c r="N35" s="25"/>
      <c r="O35" s="25"/>
    </row>
    <row r="36" spans="1:22" s="7" customFormat="1" ht="18.75" customHeight="1">
      <c r="B36" s="25"/>
      <c r="C36" s="25"/>
      <c r="D36" s="25"/>
      <c r="E36" s="25"/>
      <c r="F36" s="25"/>
      <c r="I36" s="25"/>
      <c r="J36" s="25"/>
      <c r="K36" s="25"/>
      <c r="L36" s="25"/>
      <c r="M36" s="25"/>
      <c r="N36" s="25"/>
      <c r="O36" s="25"/>
    </row>
    <row r="37" spans="1:22" s="7" customFormat="1" ht="18.75" customHeight="1">
      <c r="B37" s="25"/>
      <c r="C37" s="25"/>
      <c r="D37" s="25"/>
      <c r="E37" s="25"/>
      <c r="F37" s="25"/>
      <c r="I37" s="25"/>
      <c r="J37" s="25"/>
      <c r="K37" s="25"/>
      <c r="L37" s="25"/>
      <c r="M37" s="25"/>
      <c r="N37" s="25"/>
      <c r="O37" s="25"/>
    </row>
    <row r="38" spans="1:22" s="7" customFormat="1" ht="18.75" customHeight="1">
      <c r="A38" s="25"/>
      <c r="B38" s="25"/>
      <c r="C38" s="25"/>
      <c r="D38" s="25"/>
      <c r="E38" s="25"/>
      <c r="F38" s="25"/>
      <c r="I38" s="25"/>
      <c r="J38" s="25"/>
      <c r="K38" s="25"/>
      <c r="L38" s="25"/>
      <c r="M38" s="25"/>
      <c r="N38" s="25"/>
      <c r="O38" s="25"/>
      <c r="U38" s="25"/>
      <c r="V38" s="25"/>
    </row>
    <row r="39" spans="1:22" s="7" customFormat="1" ht="18.75" customHeight="1">
      <c r="A39" s="25"/>
      <c r="B39" s="25"/>
      <c r="C39" s="25"/>
      <c r="D39" s="25"/>
      <c r="E39" s="25"/>
      <c r="F39" s="25"/>
      <c r="I39" s="25"/>
      <c r="J39" s="25"/>
      <c r="K39" s="25"/>
      <c r="L39" s="25"/>
      <c r="M39" s="25"/>
      <c r="N39" s="25"/>
      <c r="O39" s="25"/>
      <c r="Q39" s="25"/>
      <c r="R39" s="25"/>
      <c r="S39" s="25"/>
      <c r="T39" s="25"/>
      <c r="U39" s="25"/>
      <c r="V39" s="25"/>
    </row>
    <row r="40" spans="1:22" ht="18.75" customHeight="1"/>
    <row r="41" spans="1:22" ht="18.75" customHeight="1"/>
    <row r="42" spans="1:22" ht="18.75" customHeight="1"/>
    <row r="43" spans="1:22" ht="18.75" customHeight="1"/>
  </sheetData>
  <sheetProtection algorithmName="SHA-512" hashValue="efA/+NkxLyu2iaG6aUlmcXrHbw7ujuLhSSO2ub8bLG2/KoJzdffiwXg1LqhLE/POD25wdV5iJ1aCpIGkVM4guA==" saltValue="EKbUs5sBljmhd5cpPgniNw==" spinCount="100000" sheet="1" objects="1" scenarios="1"/>
  <mergeCells count="13">
    <mergeCell ref="B17:D18"/>
    <mergeCell ref="B2:O3"/>
    <mergeCell ref="B4:O6"/>
    <mergeCell ref="U4:U6"/>
    <mergeCell ref="G8:O8"/>
    <mergeCell ref="B13:O13"/>
    <mergeCell ref="S15:T15"/>
    <mergeCell ref="E10:F10"/>
    <mergeCell ref="E11:F11"/>
    <mergeCell ref="E12:F12"/>
    <mergeCell ref="B15:D16"/>
    <mergeCell ref="E7:F7"/>
    <mergeCell ref="E8:F8"/>
  </mergeCells>
  <printOptions horizontalCentered="1"/>
  <pageMargins left="0.25" right="0.25" top="0.75" bottom="0.75" header="0.3" footer="0.3"/>
  <pageSetup paperSize="9" scale="62"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A64C3-D535-4973-BAD4-B9974C1B5739}">
  <sheetPr codeName="Sheet10">
    <pageSetUpPr fitToPage="1"/>
  </sheetPr>
  <dimension ref="A2:Q42"/>
  <sheetViews>
    <sheetView showGridLines="0" workbookViewId="0"/>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9" width="10.265625" style="25" customWidth="1"/>
    <col min="10" max="10" width="14.59765625" style="25" customWidth="1"/>
    <col min="11" max="11" width="3.86328125" style="25" customWidth="1"/>
    <col min="12" max="12" width="17" style="25" bestFit="1" customWidth="1"/>
    <col min="13" max="13" width="8.59765625" style="25" bestFit="1" customWidth="1"/>
    <col min="14" max="14" width="10.265625" style="25" customWidth="1"/>
    <col min="15" max="16384" width="9.265625" style="25"/>
  </cols>
  <sheetData>
    <row r="2" spans="2:17" s="7" customFormat="1" ht="19.149999999999999" customHeight="1" thickBot="1">
      <c r="B2" s="196" t="s">
        <v>88</v>
      </c>
      <c r="C2" s="196"/>
      <c r="D2" s="196"/>
      <c r="E2" s="196"/>
      <c r="F2" s="196"/>
      <c r="G2" s="196"/>
      <c r="H2" s="196"/>
      <c r="I2" s="196"/>
      <c r="J2" s="196"/>
      <c r="L2" s="103" t="s">
        <v>22</v>
      </c>
      <c r="M2" s="32"/>
      <c r="N2" s="11"/>
      <c r="O2" s="11"/>
    </row>
    <row r="3" spans="2:17" s="7" customFormat="1" ht="19.149999999999999" customHeight="1">
      <c r="B3" s="196"/>
      <c r="C3" s="196"/>
      <c r="D3" s="196"/>
      <c r="E3" s="196"/>
      <c r="F3" s="196"/>
      <c r="G3" s="196"/>
      <c r="H3" s="196"/>
      <c r="I3" s="196"/>
      <c r="J3" s="196"/>
      <c r="L3" s="104" t="s">
        <v>70</v>
      </c>
      <c r="M3" s="33"/>
      <c r="N3" s="12">
        <v>5</v>
      </c>
      <c r="O3" s="7" t="s">
        <v>23</v>
      </c>
      <c r="P3" s="13" t="s">
        <v>89</v>
      </c>
    </row>
    <row r="4" spans="2:17" s="7" customFormat="1" ht="19.149999999999999" customHeight="1">
      <c r="B4" s="197" t="s">
        <v>179</v>
      </c>
      <c r="C4" s="197"/>
      <c r="D4" s="197"/>
      <c r="E4" s="197"/>
      <c r="F4" s="197"/>
      <c r="G4" s="197"/>
      <c r="H4" s="197"/>
      <c r="I4" s="197"/>
      <c r="J4" s="197"/>
      <c r="L4" s="35" t="s">
        <v>26</v>
      </c>
      <c r="M4" s="35"/>
      <c r="N4" s="15">
        <v>1</v>
      </c>
      <c r="O4" s="16" t="s">
        <v>27</v>
      </c>
      <c r="P4" s="198" t="s">
        <v>28</v>
      </c>
    </row>
    <row r="5" spans="2:17" s="7" customFormat="1" ht="19.149999999999999" customHeight="1">
      <c r="B5" s="197"/>
      <c r="C5" s="197"/>
      <c r="D5" s="197"/>
      <c r="E5" s="197"/>
      <c r="F5" s="197"/>
      <c r="G5" s="197"/>
      <c r="H5" s="197"/>
      <c r="I5" s="197"/>
      <c r="J5" s="197"/>
      <c r="L5" s="35" t="s">
        <v>29</v>
      </c>
      <c r="M5" s="35"/>
      <c r="N5" s="15">
        <v>1</v>
      </c>
      <c r="O5" s="16" t="s">
        <v>27</v>
      </c>
      <c r="P5" s="198"/>
    </row>
    <row r="6" spans="2:17" s="7" customFormat="1" ht="19.149999999999999" customHeight="1">
      <c r="B6" s="197"/>
      <c r="C6" s="197"/>
      <c r="D6" s="197"/>
      <c r="E6" s="197"/>
      <c r="F6" s="197"/>
      <c r="G6" s="197"/>
      <c r="H6" s="197"/>
      <c r="I6" s="197"/>
      <c r="J6" s="197"/>
      <c r="K6" s="9"/>
      <c r="L6" s="35" t="s">
        <v>30</v>
      </c>
      <c r="M6" s="35"/>
      <c r="N6" s="15">
        <v>1</v>
      </c>
      <c r="O6" s="16" t="s">
        <v>27</v>
      </c>
      <c r="P6" s="198"/>
    </row>
    <row r="7" spans="2:17" s="9" customFormat="1" ht="34.9" customHeight="1">
      <c r="B7" s="8"/>
      <c r="C7" s="8"/>
      <c r="D7" s="8"/>
      <c r="E7" s="202" t="s">
        <v>31</v>
      </c>
      <c r="F7" s="202"/>
      <c r="G7" s="245" t="s">
        <v>90</v>
      </c>
      <c r="H7" s="246"/>
      <c r="I7" s="91"/>
      <c r="J7" s="91"/>
      <c r="K7" s="7"/>
      <c r="L7" s="7"/>
      <c r="M7" s="7"/>
      <c r="N7" s="7"/>
      <c r="O7" s="7"/>
      <c r="P7" s="49"/>
      <c r="Q7" s="7"/>
    </row>
    <row r="8" spans="2:17" s="7" customFormat="1" ht="19.350000000000001" customHeight="1">
      <c r="B8" s="248" t="s">
        <v>178</v>
      </c>
      <c r="C8" s="248"/>
      <c r="D8" s="248"/>
      <c r="E8" s="203" t="s">
        <v>32</v>
      </c>
      <c r="F8" s="203"/>
      <c r="G8" s="204" t="s">
        <v>91</v>
      </c>
      <c r="H8" s="204"/>
      <c r="I8" s="78"/>
      <c r="J8" s="78"/>
    </row>
    <row r="9" spans="2:17" s="7" customFormat="1" ht="21.75" customHeight="1" thickBot="1">
      <c r="B9" s="55" t="s">
        <v>34</v>
      </c>
      <c r="C9" s="55" t="s">
        <v>35</v>
      </c>
      <c r="D9" s="55" t="s">
        <v>36</v>
      </c>
      <c r="E9" s="56">
        <f>N3</f>
        <v>5</v>
      </c>
      <c r="F9" s="57" t="s">
        <v>37</v>
      </c>
      <c r="G9" s="55" t="s">
        <v>92</v>
      </c>
      <c r="H9" s="55" t="s">
        <v>38</v>
      </c>
      <c r="I9" s="55" t="s">
        <v>39</v>
      </c>
      <c r="J9" s="55" t="s">
        <v>74</v>
      </c>
      <c r="L9" s="113" t="s">
        <v>47</v>
      </c>
      <c r="M9" s="113"/>
      <c r="N9" s="106" t="s">
        <v>48</v>
      </c>
      <c r="O9" s="107" t="s">
        <v>49</v>
      </c>
    </row>
    <row r="10" spans="2:17" s="7" customFormat="1" ht="19.149999999999999" customHeight="1">
      <c r="B10" s="58" t="s">
        <v>93</v>
      </c>
      <c r="C10" s="59">
        <f>35*N4</f>
        <v>35</v>
      </c>
      <c r="D10" s="59">
        <f>2.5*N5</f>
        <v>2.5</v>
      </c>
      <c r="E10" s="249">
        <f>C10+(($N$3-5)*D10)+(N13*N6)</f>
        <v>35</v>
      </c>
      <c r="F10" s="249"/>
      <c r="G10" s="59">
        <f>C10+((10-5)*D10)+(N13*N6)</f>
        <v>47.5</v>
      </c>
      <c r="H10" s="60">
        <f>C10+((15-5)*D10)+(N13*N6)</f>
        <v>60</v>
      </c>
      <c r="I10" s="60">
        <f>C10+((20-5)*D10)+(N13*N6)</f>
        <v>72.5</v>
      </c>
      <c r="J10" s="60">
        <f>C10+((25-5)*D10)+(N13*N6)</f>
        <v>85</v>
      </c>
      <c r="L10" s="108" t="s">
        <v>194</v>
      </c>
      <c r="M10" s="18">
        <v>0</v>
      </c>
      <c r="N10" s="17">
        <v>0</v>
      </c>
      <c r="O10" s="18">
        <f t="shared" ref="O10" si="0">M10*N10</f>
        <v>0</v>
      </c>
    </row>
    <row r="11" spans="2:17" s="7" customFormat="1" ht="19.149999999999999" customHeight="1">
      <c r="B11" s="61" t="s">
        <v>94</v>
      </c>
      <c r="C11" s="62">
        <f>65*N4</f>
        <v>65</v>
      </c>
      <c r="D11" s="62">
        <f>5.5*N5</f>
        <v>5.5</v>
      </c>
      <c r="E11" s="205">
        <f>C11+(($N$3-5)*D11)+(N13*N6)</f>
        <v>65</v>
      </c>
      <c r="F11" s="205"/>
      <c r="G11" s="62">
        <f>C11+((10-5)*D11)+(N13*N6)</f>
        <v>92.5</v>
      </c>
      <c r="H11" s="63">
        <f>C11+((15-5)*D11)+(N13*N6)</f>
        <v>120</v>
      </c>
      <c r="I11" s="63">
        <f>C11+((20-5)*D11)+(N13*N6)</f>
        <v>147.5</v>
      </c>
      <c r="J11" s="63">
        <f>C11+((25-5)*D11)+(N13*N6)</f>
        <v>175</v>
      </c>
      <c r="L11" s="114" t="s">
        <v>62</v>
      </c>
      <c r="M11" s="54">
        <v>20</v>
      </c>
      <c r="N11" s="30">
        <v>0</v>
      </c>
      <c r="O11" s="54">
        <f>M11*N11</f>
        <v>0</v>
      </c>
    </row>
    <row r="12" spans="2:17" s="7" customFormat="1" ht="19.149999999999999" customHeight="1" thickBot="1">
      <c r="B12" s="64" t="s">
        <v>95</v>
      </c>
      <c r="C12" s="65">
        <f>95*N4</f>
        <v>95</v>
      </c>
      <c r="D12" s="65">
        <f>7.5*N5</f>
        <v>7.5</v>
      </c>
      <c r="E12" s="205">
        <f>C12+(($N$3-5)*D12)+(N13*N6)</f>
        <v>95</v>
      </c>
      <c r="F12" s="205"/>
      <c r="G12" s="62">
        <f>C12+((10-5)*D12)+(N13*N6)</f>
        <v>132.5</v>
      </c>
      <c r="H12" s="63">
        <f>C12+((15-5)*D12)+(N13*N6)</f>
        <v>170</v>
      </c>
      <c r="I12" s="63">
        <f>C12+((20-5)*D12)+(N13*N6)</f>
        <v>207.5</v>
      </c>
      <c r="J12" s="63">
        <f>C12+((25-5)*D12)+(N13*N6)</f>
        <v>245</v>
      </c>
      <c r="L12" s="114"/>
      <c r="M12" s="22"/>
      <c r="N12" s="22"/>
      <c r="O12" s="22"/>
    </row>
    <row r="13" spans="2:17" s="7" customFormat="1" ht="19.149999999999999" customHeight="1" thickTop="1">
      <c r="B13" s="247" t="s">
        <v>174</v>
      </c>
      <c r="C13" s="247"/>
      <c r="D13" s="247"/>
      <c r="E13" s="247"/>
      <c r="F13" s="247"/>
      <c r="G13" s="247"/>
      <c r="H13" s="247"/>
      <c r="I13" s="247"/>
      <c r="J13" s="247"/>
      <c r="L13" s="31"/>
      <c r="M13" s="20" t="s">
        <v>69</v>
      </c>
      <c r="N13" s="218">
        <f>SUM(O10:O12)</f>
        <v>0</v>
      </c>
      <c r="O13" s="218"/>
    </row>
    <row r="14" spans="2:17" s="7" customFormat="1" ht="19.149999999999999" customHeight="1">
      <c r="B14" s="48"/>
      <c r="C14" s="48"/>
      <c r="D14" s="48"/>
      <c r="E14" s="48"/>
      <c r="F14" s="48"/>
      <c r="G14" s="48"/>
      <c r="H14" s="48"/>
      <c r="I14" s="48"/>
      <c r="J14" s="48"/>
    </row>
    <row r="15" spans="2:17" s="7" customFormat="1" ht="19.350000000000001" customHeight="1">
      <c r="B15" s="248" t="s">
        <v>175</v>
      </c>
      <c r="C15" s="248"/>
      <c r="D15" s="248"/>
    </row>
    <row r="16" spans="2:17" s="7" customFormat="1" ht="21.95" customHeight="1" thickBot="1">
      <c r="B16" s="55" t="s">
        <v>108</v>
      </c>
      <c r="C16" s="55" t="s">
        <v>176</v>
      </c>
      <c r="D16" s="55" t="s">
        <v>177</v>
      </c>
    </row>
    <row r="17" spans="2:17" s="7" customFormat="1" ht="19.350000000000001" customHeight="1">
      <c r="B17" s="58" t="s">
        <v>93</v>
      </c>
      <c r="C17" s="59">
        <f>15*N4</f>
        <v>15</v>
      </c>
      <c r="D17" s="59">
        <f>25*N4</f>
        <v>25</v>
      </c>
      <c r="L17" s="25"/>
      <c r="M17" s="25"/>
      <c r="N17" s="25"/>
      <c r="O17" s="25"/>
    </row>
    <row r="18" spans="2:17" s="7" customFormat="1" ht="19.350000000000001" customHeight="1">
      <c r="B18" s="61" t="s">
        <v>94</v>
      </c>
      <c r="C18" s="62">
        <f>40*N4</f>
        <v>40</v>
      </c>
      <c r="D18" s="62">
        <f>70*N4</f>
        <v>70</v>
      </c>
      <c r="E18" s="25"/>
      <c r="F18" s="25"/>
      <c r="G18" s="29"/>
      <c r="H18" s="29"/>
      <c r="L18" s="25"/>
      <c r="M18" s="25"/>
      <c r="N18" s="25"/>
      <c r="O18" s="25"/>
    </row>
    <row r="19" spans="2:17" s="7" customFormat="1" ht="19.350000000000001" customHeight="1">
      <c r="B19" s="64" t="s">
        <v>95</v>
      </c>
      <c r="C19" s="65">
        <f>65*N4</f>
        <v>65</v>
      </c>
      <c r="D19" s="65">
        <f>115*N4</f>
        <v>115</v>
      </c>
      <c r="E19" s="25"/>
      <c r="F19" s="25"/>
      <c r="G19" s="29"/>
      <c r="H19" s="29"/>
      <c r="L19" s="25"/>
      <c r="M19" s="25"/>
      <c r="N19" s="25"/>
      <c r="O19" s="25"/>
    </row>
    <row r="20" spans="2:17" s="29" customFormat="1" ht="19.350000000000001" customHeight="1">
      <c r="B20" s="247" t="s">
        <v>195</v>
      </c>
      <c r="C20" s="247"/>
      <c r="D20" s="247"/>
      <c r="E20" s="48"/>
      <c r="F20" s="48"/>
      <c r="G20" s="48"/>
      <c r="H20" s="48"/>
      <c r="I20" s="48"/>
      <c r="J20" s="48"/>
      <c r="L20" s="25"/>
      <c r="M20" s="25"/>
      <c r="N20" s="25"/>
      <c r="O20" s="25"/>
    </row>
    <row r="21" spans="2:17" s="29" customFormat="1" ht="19.149999999999999" customHeight="1">
      <c r="B21" s="25"/>
      <c r="C21" s="25"/>
      <c r="D21" s="25"/>
      <c r="E21" s="25"/>
      <c r="F21" s="25"/>
      <c r="G21" s="25"/>
      <c r="H21" s="7"/>
      <c r="I21" s="7"/>
      <c r="J21" s="7"/>
      <c r="L21" s="25"/>
      <c r="M21" s="25"/>
      <c r="N21" s="25"/>
      <c r="O21" s="25"/>
    </row>
    <row r="22" spans="2:17" s="29" customFormat="1" ht="19.149999999999999" customHeight="1">
      <c r="B22" s="25"/>
      <c r="C22" s="25"/>
      <c r="D22" s="25"/>
      <c r="E22" s="25"/>
      <c r="F22" s="25"/>
      <c r="G22" s="25"/>
      <c r="H22" s="7"/>
      <c r="I22" s="7"/>
      <c r="J22" s="7"/>
      <c r="K22" s="7"/>
      <c r="L22" s="25"/>
      <c r="M22" s="25"/>
      <c r="N22" s="25"/>
      <c r="O22" s="25"/>
      <c r="P22" s="7"/>
      <c r="Q22" s="7"/>
    </row>
    <row r="23" spans="2:17" s="29" customFormat="1" ht="19.149999999999999" customHeight="1">
      <c r="B23" s="25"/>
      <c r="C23" s="25"/>
      <c r="D23" s="25"/>
      <c r="E23" s="25"/>
      <c r="F23" s="25"/>
      <c r="G23" s="25"/>
      <c r="H23" s="25"/>
      <c r="I23" s="25"/>
      <c r="J23" s="25"/>
      <c r="K23" s="7"/>
      <c r="L23" s="25"/>
      <c r="M23" s="25"/>
      <c r="N23" s="25"/>
      <c r="O23" s="25"/>
      <c r="P23" s="7"/>
    </row>
    <row r="24" spans="2:17" s="7" customFormat="1" ht="19.149999999999999" customHeight="1">
      <c r="B24" s="25"/>
      <c r="C24" s="25"/>
      <c r="D24" s="25"/>
      <c r="E24" s="25"/>
      <c r="F24" s="25"/>
      <c r="G24" s="25"/>
      <c r="H24" s="25"/>
      <c r="I24" s="25"/>
      <c r="J24" s="25"/>
      <c r="L24" s="25"/>
      <c r="M24" s="25"/>
      <c r="N24" s="25"/>
      <c r="O24" s="25"/>
    </row>
    <row r="25" spans="2:17" s="29" customFormat="1" ht="19.149999999999999" customHeight="1">
      <c r="B25" s="25"/>
      <c r="C25" s="25"/>
      <c r="D25" s="25"/>
      <c r="E25" s="25"/>
      <c r="F25" s="25"/>
      <c r="G25" s="25"/>
      <c r="H25" s="25"/>
      <c r="I25" s="25"/>
      <c r="J25" s="25"/>
      <c r="K25" s="7"/>
      <c r="L25" s="25"/>
      <c r="M25" s="25"/>
      <c r="N25" s="25"/>
      <c r="O25" s="25"/>
      <c r="P25" s="7"/>
      <c r="Q25" s="7"/>
    </row>
    <row r="26" spans="2:17" s="7" customFormat="1" ht="19.149999999999999" customHeight="1">
      <c r="B26" s="25"/>
      <c r="C26" s="25"/>
      <c r="D26" s="25"/>
      <c r="E26" s="25"/>
      <c r="F26" s="25"/>
      <c r="G26" s="25"/>
      <c r="H26" s="25"/>
      <c r="I26" s="25"/>
      <c r="J26" s="25"/>
      <c r="L26" s="25"/>
      <c r="M26" s="25"/>
      <c r="N26" s="25"/>
      <c r="O26" s="25"/>
    </row>
    <row r="27" spans="2:17" s="7" customFormat="1" ht="19.149999999999999" customHeight="1">
      <c r="B27" s="25"/>
      <c r="C27" s="25"/>
      <c r="D27" s="25"/>
      <c r="E27" s="25"/>
      <c r="F27" s="25"/>
      <c r="G27" s="25"/>
      <c r="H27" s="25"/>
      <c r="I27" s="25"/>
      <c r="J27" s="25"/>
      <c r="L27" s="25"/>
      <c r="M27" s="25"/>
      <c r="N27" s="25"/>
      <c r="O27" s="25"/>
    </row>
    <row r="28" spans="2:17" s="7" customFormat="1" ht="19.149999999999999" customHeight="1">
      <c r="B28" s="25"/>
      <c r="C28" s="25"/>
      <c r="D28" s="25"/>
      <c r="E28" s="25"/>
      <c r="F28" s="25"/>
      <c r="G28" s="25"/>
      <c r="H28" s="25"/>
      <c r="I28" s="25"/>
      <c r="J28" s="25"/>
      <c r="L28" s="25"/>
      <c r="M28" s="25"/>
      <c r="N28" s="25"/>
      <c r="O28" s="25"/>
    </row>
    <row r="29" spans="2:17" s="7" customFormat="1" ht="19.149999999999999" customHeight="1">
      <c r="B29" s="25"/>
      <c r="C29" s="25"/>
      <c r="D29" s="25"/>
      <c r="E29" s="25"/>
      <c r="F29" s="25"/>
      <c r="G29" s="25"/>
      <c r="H29" s="25"/>
      <c r="I29" s="25"/>
      <c r="J29" s="25"/>
      <c r="L29" s="25"/>
      <c r="M29" s="25"/>
      <c r="N29" s="25"/>
      <c r="O29" s="25"/>
    </row>
    <row r="30" spans="2:17" s="7" customFormat="1" ht="19.149999999999999" customHeight="1">
      <c r="B30" s="25"/>
      <c r="C30" s="25"/>
      <c r="D30" s="25"/>
      <c r="E30" s="25"/>
      <c r="F30" s="25"/>
      <c r="G30" s="25"/>
      <c r="H30" s="25"/>
      <c r="I30" s="25"/>
      <c r="J30" s="25"/>
      <c r="L30" s="25"/>
      <c r="M30" s="25"/>
      <c r="N30" s="25"/>
      <c r="O30" s="25"/>
      <c r="P30" s="25"/>
    </row>
    <row r="31" spans="2:17" s="7" customFormat="1" ht="19.149999999999999" customHeight="1">
      <c r="B31" s="25"/>
      <c r="C31" s="25"/>
      <c r="D31" s="25"/>
      <c r="E31" s="25"/>
      <c r="F31" s="25"/>
      <c r="G31" s="25"/>
      <c r="H31" s="25"/>
      <c r="I31" s="25"/>
      <c r="J31" s="25"/>
      <c r="K31" s="25"/>
      <c r="L31" s="25"/>
      <c r="M31" s="25"/>
      <c r="N31" s="25"/>
      <c r="O31" s="25"/>
      <c r="P31" s="25"/>
    </row>
    <row r="32" spans="2:17" s="7" customFormat="1" ht="19.149999999999999" customHeight="1">
      <c r="B32" s="25"/>
      <c r="C32" s="25"/>
      <c r="D32" s="25"/>
      <c r="E32" s="25"/>
      <c r="F32" s="25"/>
      <c r="G32" s="25"/>
      <c r="H32" s="25"/>
      <c r="I32" s="25"/>
      <c r="J32" s="25"/>
      <c r="K32" s="25"/>
      <c r="L32" s="25"/>
      <c r="M32" s="25"/>
      <c r="N32" s="25"/>
      <c r="O32" s="25"/>
      <c r="P32" s="25"/>
    </row>
    <row r="33" spans="1:17" s="7" customFormat="1" ht="19.149999999999999" customHeight="1">
      <c r="B33" s="25"/>
      <c r="C33" s="25"/>
      <c r="D33" s="25"/>
      <c r="E33" s="25"/>
      <c r="F33" s="25"/>
      <c r="G33" s="25"/>
      <c r="H33" s="25"/>
      <c r="I33" s="25"/>
      <c r="J33" s="25"/>
      <c r="K33" s="25"/>
      <c r="L33" s="25"/>
      <c r="M33" s="25"/>
      <c r="N33" s="25"/>
      <c r="O33" s="25"/>
      <c r="P33" s="25"/>
    </row>
    <row r="34" spans="1:17" s="7" customFormat="1" ht="19.149999999999999" customHeight="1">
      <c r="B34" s="25"/>
      <c r="C34" s="25"/>
      <c r="D34" s="25"/>
      <c r="E34" s="25"/>
      <c r="F34" s="25"/>
      <c r="G34" s="25"/>
      <c r="H34" s="25"/>
      <c r="I34" s="25"/>
      <c r="J34" s="25"/>
      <c r="K34" s="25"/>
      <c r="L34" s="25"/>
      <c r="M34" s="25"/>
      <c r="N34" s="25"/>
      <c r="O34" s="25"/>
      <c r="P34" s="25"/>
    </row>
    <row r="35" spans="1:17" s="7" customFormat="1" ht="19.149999999999999" customHeight="1">
      <c r="B35" s="25"/>
      <c r="C35" s="25"/>
      <c r="D35" s="25"/>
      <c r="E35" s="25"/>
      <c r="F35" s="25"/>
      <c r="G35" s="25"/>
      <c r="H35" s="25"/>
      <c r="I35" s="25"/>
      <c r="J35" s="25"/>
      <c r="K35" s="25"/>
      <c r="L35" s="25"/>
      <c r="M35" s="25"/>
      <c r="N35" s="25"/>
      <c r="O35" s="25"/>
      <c r="P35" s="25"/>
    </row>
    <row r="36" spans="1:17" s="7" customFormat="1" ht="19.149999999999999" customHeight="1">
      <c r="A36" s="25"/>
      <c r="B36" s="25"/>
      <c r="C36" s="25"/>
      <c r="D36" s="25"/>
      <c r="E36" s="25"/>
      <c r="F36" s="25"/>
      <c r="G36" s="25"/>
      <c r="H36" s="25"/>
      <c r="I36" s="25"/>
      <c r="J36" s="25"/>
      <c r="K36" s="25"/>
      <c r="L36" s="25"/>
      <c r="M36" s="25"/>
      <c r="N36" s="25"/>
      <c r="O36" s="25"/>
      <c r="P36" s="25"/>
      <c r="Q36" s="25"/>
    </row>
    <row r="37" spans="1:17" s="7" customFormat="1" ht="19.149999999999999" customHeight="1">
      <c r="A37" s="25"/>
      <c r="B37" s="25"/>
      <c r="C37" s="25"/>
      <c r="D37" s="25"/>
      <c r="E37" s="25"/>
      <c r="F37" s="25"/>
      <c r="G37" s="25"/>
      <c r="H37" s="25"/>
      <c r="I37" s="25"/>
      <c r="J37" s="25"/>
      <c r="K37" s="25"/>
      <c r="L37" s="25"/>
      <c r="M37" s="25"/>
      <c r="N37" s="25"/>
      <c r="O37" s="25"/>
      <c r="P37" s="25"/>
      <c r="Q37" s="25"/>
    </row>
    <row r="38" spans="1:17" ht="19.149999999999999" customHeight="1"/>
    <row r="39" spans="1:17" ht="19.149999999999999" customHeight="1"/>
    <row r="40" spans="1:17" ht="19.149999999999999" customHeight="1"/>
    <row r="41" spans="1:17" ht="19.149999999999999" customHeight="1"/>
    <row r="42" spans="1:17" ht="19.149999999999999" customHeight="1"/>
  </sheetData>
  <sheetProtection algorithmName="SHA-512" hashValue="sqG5I9me06nl7ZNhYb2Zo3L9w/h3Ji0lUWumoCC+4PEiVS+7rtXsi8eRba4+2lvq6T2rkW75wPFG7PXiymnmOg==" saltValue="BoJLZmCGuYt130bxvjCs6A==" spinCount="100000" sheet="1" objects="1" scenarios="1"/>
  <mergeCells count="15">
    <mergeCell ref="N13:O13"/>
    <mergeCell ref="B20:D20"/>
    <mergeCell ref="B15:D15"/>
    <mergeCell ref="B8:D8"/>
    <mergeCell ref="B13:J13"/>
    <mergeCell ref="E12:F12"/>
    <mergeCell ref="E10:F10"/>
    <mergeCell ref="E11:F11"/>
    <mergeCell ref="B2:J3"/>
    <mergeCell ref="B4:J6"/>
    <mergeCell ref="P4:P6"/>
    <mergeCell ref="E7:F7"/>
    <mergeCell ref="E8:F8"/>
    <mergeCell ref="G8:H8"/>
    <mergeCell ref="G7:H7"/>
  </mergeCells>
  <phoneticPr fontId="59" type="noConversion"/>
  <printOptions horizontalCentered="1"/>
  <pageMargins left="0.25" right="0.25"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3812-C4D8-4C91-A5E9-3430BE4B5481}">
  <dimension ref="A2:V25"/>
  <sheetViews>
    <sheetView showGridLines="0" workbookViewId="0"/>
  </sheetViews>
  <sheetFormatPr defaultColWidth="9.265625" defaultRowHeight="14.25"/>
  <cols>
    <col min="1" max="1" width="3.86328125" style="25" customWidth="1"/>
    <col min="2" max="2" width="15.59765625" style="25" customWidth="1"/>
    <col min="3" max="4" width="14.73046875" style="25" customWidth="1"/>
    <col min="5" max="5" width="5.59765625" style="25" customWidth="1"/>
    <col min="6" max="6" width="7.265625" style="25" customWidth="1"/>
    <col min="7" max="10" width="10.265625" style="25" customWidth="1"/>
    <col min="11" max="11" width="14.59765625" style="25" customWidth="1"/>
    <col min="12" max="12" width="3.86328125" style="25" customWidth="1"/>
    <col min="13" max="13" width="33.59765625" style="25" customWidth="1"/>
    <col min="14" max="14" width="8.59765625" style="25" bestFit="1" customWidth="1"/>
    <col min="15" max="15" width="10.265625" style="25" customWidth="1"/>
    <col min="16" max="16384" width="9.265625" style="25"/>
  </cols>
  <sheetData>
    <row r="2" spans="1:22" s="7" customFormat="1" ht="14.65" thickBot="1">
      <c r="B2" s="196" t="s">
        <v>346</v>
      </c>
      <c r="C2" s="196"/>
      <c r="D2" s="196"/>
      <c r="E2" s="196"/>
      <c r="F2" s="196"/>
      <c r="G2" s="196"/>
      <c r="H2" s="196"/>
      <c r="I2" s="196"/>
      <c r="J2" s="196"/>
      <c r="K2" s="196"/>
      <c r="M2" s="113" t="s">
        <v>209</v>
      </c>
      <c r="N2" s="113"/>
      <c r="O2" s="11"/>
      <c r="P2" s="11"/>
    </row>
    <row r="3" spans="1:22" s="7" customFormat="1" ht="21">
      <c r="B3" s="196"/>
      <c r="C3" s="196"/>
      <c r="D3" s="196"/>
      <c r="E3" s="196"/>
      <c r="F3" s="196"/>
      <c r="G3" s="196"/>
      <c r="H3" s="196"/>
      <c r="I3" s="196"/>
      <c r="J3" s="196"/>
      <c r="K3" s="196"/>
      <c r="M3" s="104" t="s">
        <v>70</v>
      </c>
      <c r="N3" s="33"/>
      <c r="O3" s="12">
        <v>5</v>
      </c>
      <c r="P3" s="7" t="s">
        <v>23</v>
      </c>
      <c r="Q3" s="13" t="s">
        <v>89</v>
      </c>
    </row>
    <row r="4" spans="1:22" s="7" customFormat="1" ht="19.350000000000001" customHeight="1">
      <c r="B4" s="197" t="s">
        <v>362</v>
      </c>
      <c r="C4" s="197"/>
      <c r="D4" s="197"/>
      <c r="E4" s="197"/>
      <c r="F4" s="197"/>
      <c r="G4" s="197"/>
      <c r="H4" s="197"/>
      <c r="I4" s="197"/>
      <c r="J4" s="197"/>
      <c r="K4" s="197"/>
      <c r="M4" s="105" t="s">
        <v>26</v>
      </c>
      <c r="N4" s="35"/>
      <c r="O4" s="27">
        <v>1</v>
      </c>
      <c r="P4" s="16" t="s">
        <v>27</v>
      </c>
      <c r="Q4" s="198" t="s">
        <v>28</v>
      </c>
    </row>
    <row r="5" spans="1:22" s="7" customFormat="1" ht="19.350000000000001" customHeight="1">
      <c r="B5" s="197"/>
      <c r="C5" s="197"/>
      <c r="D5" s="197"/>
      <c r="E5" s="197"/>
      <c r="F5" s="197"/>
      <c r="G5" s="197"/>
      <c r="H5" s="197"/>
      <c r="I5" s="197"/>
      <c r="J5" s="197"/>
      <c r="K5" s="197"/>
      <c r="M5" s="105" t="s">
        <v>29</v>
      </c>
      <c r="N5" s="35"/>
      <c r="O5" s="27">
        <v>1</v>
      </c>
      <c r="P5" s="16" t="s">
        <v>27</v>
      </c>
      <c r="Q5" s="198"/>
    </row>
    <row r="6" spans="1:22" s="7" customFormat="1" ht="19.350000000000001" customHeight="1">
      <c r="B6" s="197"/>
      <c r="C6" s="197"/>
      <c r="D6" s="197"/>
      <c r="E6" s="197"/>
      <c r="F6" s="197"/>
      <c r="G6" s="197"/>
      <c r="H6" s="197"/>
      <c r="I6" s="197"/>
      <c r="J6" s="197"/>
      <c r="K6" s="197"/>
      <c r="M6" s="105" t="s">
        <v>30</v>
      </c>
      <c r="N6" s="35"/>
      <c r="O6" s="27">
        <v>1</v>
      </c>
      <c r="P6" s="16" t="s">
        <v>27</v>
      </c>
      <c r="Q6" s="198"/>
    </row>
    <row r="7" spans="1:22" s="9" customFormat="1" ht="35.1" customHeight="1">
      <c r="B7" s="8"/>
      <c r="C7" s="8"/>
      <c r="D7" s="8"/>
      <c r="E7" s="202" t="s">
        <v>31</v>
      </c>
      <c r="F7" s="202"/>
      <c r="G7" s="8"/>
      <c r="H7" s="8"/>
      <c r="I7" s="8"/>
      <c r="J7" s="8"/>
      <c r="K7" s="8"/>
      <c r="L7" s="8"/>
      <c r="M7" s="8"/>
      <c r="N7" s="8"/>
      <c r="O7" s="8"/>
      <c r="Q7" s="7"/>
      <c r="R7" s="7"/>
      <c r="S7" s="7"/>
      <c r="T7" s="7"/>
      <c r="U7" s="7"/>
      <c r="V7" s="7"/>
    </row>
    <row r="8" spans="1:22" s="7" customFormat="1" ht="19.350000000000001" customHeight="1">
      <c r="B8" s="212" t="s">
        <v>363</v>
      </c>
      <c r="C8" s="212"/>
      <c r="D8" s="212"/>
      <c r="E8" s="203" t="s">
        <v>32</v>
      </c>
      <c r="F8" s="203"/>
      <c r="G8" s="204" t="s">
        <v>33</v>
      </c>
      <c r="H8" s="204"/>
      <c r="I8" s="204"/>
      <c r="J8" s="204"/>
      <c r="K8" s="204"/>
    </row>
    <row r="9" spans="1:22" s="7" customFormat="1" ht="19.350000000000001" customHeight="1" thickBot="1">
      <c r="B9" s="141" t="s">
        <v>347</v>
      </c>
      <c r="C9" s="55" t="s">
        <v>35</v>
      </c>
      <c r="D9" s="55" t="s">
        <v>36</v>
      </c>
      <c r="E9" s="56">
        <v>5</v>
      </c>
      <c r="F9" s="57" t="s">
        <v>37</v>
      </c>
      <c r="G9" s="55" t="s">
        <v>92</v>
      </c>
      <c r="H9" s="55" t="s">
        <v>38</v>
      </c>
      <c r="I9" s="55" t="s">
        <v>39</v>
      </c>
      <c r="J9" s="55" t="s">
        <v>40</v>
      </c>
      <c r="K9" s="55" t="s">
        <v>348</v>
      </c>
      <c r="M9" s="103" t="s">
        <v>47</v>
      </c>
      <c r="N9" s="32"/>
      <c r="O9" s="106" t="s">
        <v>48</v>
      </c>
      <c r="P9" s="107" t="s">
        <v>49</v>
      </c>
    </row>
    <row r="10" spans="1:22" s="7" customFormat="1" ht="19.350000000000001" customHeight="1">
      <c r="B10" s="142" t="s">
        <v>349</v>
      </c>
      <c r="C10" s="62">
        <v>30</v>
      </c>
      <c r="D10" s="62">
        <v>2</v>
      </c>
      <c r="E10" s="205">
        <f t="shared" ref="E10:E17" si="0">($C10*$O$4)+(($O$3-5)*($D10*$O$5))+($O$24*$O$6)</f>
        <v>30</v>
      </c>
      <c r="F10" s="205"/>
      <c r="G10" s="62">
        <f t="shared" ref="G10:G17" si="1">($C10*$O$4)+((10-5)*($D10*$O$5))+($O$24*$O$6)</f>
        <v>40</v>
      </c>
      <c r="H10" s="62">
        <f t="shared" ref="H10:H17" si="2">($C10*$O$4)+((15-5)*($D10*$O$5))+($O$24*$O$6)</f>
        <v>50</v>
      </c>
      <c r="I10" s="62">
        <f t="shared" ref="I10:I17" si="3">($C10*$O$4)+((20-5)*($D10*$O$5))+($O$24*$O$6)</f>
        <v>60</v>
      </c>
      <c r="J10" s="62">
        <f t="shared" ref="J10:J17" si="4">($C10*$O$4)+((25-5)*($D10*$O$5))+($O$24*$O$6)</f>
        <v>70</v>
      </c>
      <c r="K10" s="62">
        <f t="shared" ref="K10:K17" si="5">($C10*$O$4)+((30-5)*($D10*$O$5))+($O$24*$O$6)</f>
        <v>80</v>
      </c>
      <c r="M10" s="108" t="s">
        <v>350</v>
      </c>
      <c r="N10" s="18">
        <v>13</v>
      </c>
      <c r="O10" s="17">
        <v>0</v>
      </c>
      <c r="P10" s="18">
        <f t="shared" ref="P10:P15" si="6">N10*O10</f>
        <v>0</v>
      </c>
    </row>
    <row r="11" spans="1:22" s="7" customFormat="1" ht="19.350000000000001" customHeight="1">
      <c r="B11" s="120" t="s">
        <v>351</v>
      </c>
      <c r="C11" s="62">
        <v>35</v>
      </c>
      <c r="D11" s="62">
        <v>2.5</v>
      </c>
      <c r="E11" s="205">
        <f t="shared" si="0"/>
        <v>35</v>
      </c>
      <c r="F11" s="205"/>
      <c r="G11" s="62">
        <f t="shared" si="1"/>
        <v>47.5</v>
      </c>
      <c r="H11" s="62">
        <f t="shared" si="2"/>
        <v>60</v>
      </c>
      <c r="I11" s="62">
        <f t="shared" si="3"/>
        <v>72.5</v>
      </c>
      <c r="J11" s="62">
        <f t="shared" si="4"/>
        <v>85</v>
      </c>
      <c r="K11" s="62">
        <f t="shared" si="5"/>
        <v>97.5</v>
      </c>
      <c r="M11" s="108" t="s">
        <v>53</v>
      </c>
      <c r="N11" s="18">
        <v>25</v>
      </c>
      <c r="O11" s="17">
        <v>0</v>
      </c>
      <c r="P11" s="18">
        <f t="shared" si="6"/>
        <v>0</v>
      </c>
    </row>
    <row r="12" spans="1:22" s="7" customFormat="1" ht="19.350000000000001" customHeight="1">
      <c r="A12" s="26"/>
      <c r="B12" s="120" t="s">
        <v>352</v>
      </c>
      <c r="C12" s="62">
        <v>45</v>
      </c>
      <c r="D12" s="62">
        <v>4</v>
      </c>
      <c r="E12" s="205">
        <f t="shared" si="0"/>
        <v>45</v>
      </c>
      <c r="F12" s="205"/>
      <c r="G12" s="62">
        <f t="shared" si="1"/>
        <v>65</v>
      </c>
      <c r="H12" s="62">
        <f t="shared" si="2"/>
        <v>85</v>
      </c>
      <c r="I12" s="62">
        <f t="shared" si="3"/>
        <v>105</v>
      </c>
      <c r="J12" s="62">
        <f t="shared" si="4"/>
        <v>125</v>
      </c>
      <c r="K12" s="62">
        <f t="shared" si="5"/>
        <v>145</v>
      </c>
      <c r="L12" s="26"/>
      <c r="M12" s="109" t="s">
        <v>55</v>
      </c>
      <c r="N12" s="18">
        <v>35</v>
      </c>
      <c r="O12" s="17">
        <v>0</v>
      </c>
      <c r="P12" s="18">
        <f t="shared" si="6"/>
        <v>0</v>
      </c>
    </row>
    <row r="13" spans="1:22" s="7" customFormat="1" ht="19.350000000000001" customHeight="1">
      <c r="A13" s="26"/>
      <c r="B13" s="143" t="s">
        <v>353</v>
      </c>
      <c r="C13" s="62">
        <v>50</v>
      </c>
      <c r="D13" s="62">
        <v>5</v>
      </c>
      <c r="E13" s="205">
        <f t="shared" si="0"/>
        <v>50</v>
      </c>
      <c r="F13" s="205"/>
      <c r="G13" s="62">
        <f t="shared" si="1"/>
        <v>75</v>
      </c>
      <c r="H13" s="62">
        <f t="shared" si="2"/>
        <v>100</v>
      </c>
      <c r="I13" s="62">
        <f t="shared" si="3"/>
        <v>125</v>
      </c>
      <c r="J13" s="62">
        <f t="shared" si="4"/>
        <v>150</v>
      </c>
      <c r="K13" s="62">
        <f t="shared" si="5"/>
        <v>175</v>
      </c>
      <c r="M13" s="109" t="s">
        <v>180</v>
      </c>
      <c r="N13" s="18">
        <v>40</v>
      </c>
      <c r="O13" s="17">
        <v>0</v>
      </c>
      <c r="P13" s="18">
        <f t="shared" si="6"/>
        <v>0</v>
      </c>
    </row>
    <row r="14" spans="1:22" s="7" customFormat="1" ht="19.350000000000001" customHeight="1">
      <c r="B14" s="120" t="s">
        <v>354</v>
      </c>
      <c r="C14" s="62">
        <v>60</v>
      </c>
      <c r="D14" s="62">
        <v>5</v>
      </c>
      <c r="E14" s="205">
        <f t="shared" si="0"/>
        <v>60</v>
      </c>
      <c r="F14" s="205"/>
      <c r="G14" s="62">
        <f t="shared" si="1"/>
        <v>85</v>
      </c>
      <c r="H14" s="62">
        <f t="shared" si="2"/>
        <v>110</v>
      </c>
      <c r="I14" s="62">
        <f t="shared" si="3"/>
        <v>135</v>
      </c>
      <c r="J14" s="62">
        <f t="shared" si="4"/>
        <v>160</v>
      </c>
      <c r="K14" s="62">
        <f t="shared" si="5"/>
        <v>185</v>
      </c>
      <c r="M14" s="110" t="s">
        <v>364</v>
      </c>
      <c r="N14" s="18">
        <v>15</v>
      </c>
      <c r="O14" s="17">
        <v>0</v>
      </c>
      <c r="P14" s="18">
        <f t="shared" si="6"/>
        <v>0</v>
      </c>
    </row>
    <row r="15" spans="1:22" s="7" customFormat="1" ht="19.350000000000001" customHeight="1">
      <c r="B15" s="121" t="s">
        <v>355</v>
      </c>
      <c r="C15" s="62">
        <v>55</v>
      </c>
      <c r="D15" s="62">
        <v>5</v>
      </c>
      <c r="E15" s="205">
        <f t="shared" si="0"/>
        <v>55</v>
      </c>
      <c r="F15" s="205"/>
      <c r="G15" s="62">
        <f t="shared" si="1"/>
        <v>80</v>
      </c>
      <c r="H15" s="62">
        <f t="shared" si="2"/>
        <v>105</v>
      </c>
      <c r="I15" s="62">
        <f t="shared" si="3"/>
        <v>130</v>
      </c>
      <c r="J15" s="62">
        <f t="shared" si="4"/>
        <v>155</v>
      </c>
      <c r="K15" s="62">
        <f t="shared" si="5"/>
        <v>180</v>
      </c>
      <c r="M15" s="110" t="s">
        <v>365</v>
      </c>
      <c r="N15" s="18">
        <v>15</v>
      </c>
      <c r="O15" s="17">
        <v>0</v>
      </c>
      <c r="P15" s="18">
        <f t="shared" si="6"/>
        <v>0</v>
      </c>
    </row>
    <row r="16" spans="1:22" s="7" customFormat="1" ht="19.350000000000001" customHeight="1">
      <c r="B16" s="143" t="s">
        <v>353</v>
      </c>
      <c r="C16" s="62">
        <v>60</v>
      </c>
      <c r="D16" s="62">
        <v>6</v>
      </c>
      <c r="E16" s="205">
        <f t="shared" si="0"/>
        <v>60</v>
      </c>
      <c r="F16" s="205"/>
      <c r="G16" s="62">
        <f t="shared" si="1"/>
        <v>90</v>
      </c>
      <c r="H16" s="62">
        <f t="shared" si="2"/>
        <v>120</v>
      </c>
      <c r="I16" s="62">
        <f t="shared" si="3"/>
        <v>150</v>
      </c>
      <c r="J16" s="62">
        <f t="shared" si="4"/>
        <v>180</v>
      </c>
      <c r="K16" s="62">
        <f t="shared" si="5"/>
        <v>210</v>
      </c>
      <c r="M16" s="110" t="s">
        <v>64</v>
      </c>
      <c r="N16" s="18">
        <v>0</v>
      </c>
      <c r="O16" s="17">
        <v>0</v>
      </c>
      <c r="P16" s="18">
        <f>N16*O16</f>
        <v>0</v>
      </c>
    </row>
    <row r="17" spans="1:18" ht="19.350000000000001" customHeight="1" thickBot="1">
      <c r="A17" s="7"/>
      <c r="B17" s="144" t="s">
        <v>357</v>
      </c>
      <c r="C17" s="75">
        <v>70</v>
      </c>
      <c r="D17" s="75">
        <v>6</v>
      </c>
      <c r="E17" s="199">
        <f t="shared" si="0"/>
        <v>70</v>
      </c>
      <c r="F17" s="199"/>
      <c r="G17" s="69">
        <f t="shared" si="1"/>
        <v>100</v>
      </c>
      <c r="H17" s="69">
        <f t="shared" si="2"/>
        <v>130</v>
      </c>
      <c r="I17" s="69">
        <f t="shared" si="3"/>
        <v>160</v>
      </c>
      <c r="J17" s="69">
        <f t="shared" si="4"/>
        <v>190</v>
      </c>
      <c r="K17" s="69">
        <f t="shared" si="5"/>
        <v>220</v>
      </c>
      <c r="L17" s="7"/>
      <c r="M17" s="108" t="s">
        <v>356</v>
      </c>
      <c r="N17" s="18">
        <v>10</v>
      </c>
      <c r="O17" s="17">
        <v>0</v>
      </c>
      <c r="P17" s="18">
        <f t="shared" ref="P17:P22" si="7">N17*O17</f>
        <v>0</v>
      </c>
      <c r="Q17" s="7"/>
      <c r="R17" s="7"/>
    </row>
    <row r="18" spans="1:18" ht="19.350000000000001" customHeight="1">
      <c r="A18" s="7"/>
      <c r="B18" s="201" t="s">
        <v>366</v>
      </c>
      <c r="C18" s="201"/>
      <c r="D18" s="201"/>
      <c r="E18" s="201"/>
      <c r="F18" s="201"/>
      <c r="G18" s="201"/>
      <c r="H18" s="201"/>
      <c r="I18" s="201"/>
      <c r="J18" s="201"/>
      <c r="K18" s="201"/>
      <c r="L18" s="7"/>
      <c r="M18" s="108" t="s">
        <v>358</v>
      </c>
      <c r="N18" s="18">
        <v>10</v>
      </c>
      <c r="O18" s="17">
        <v>0</v>
      </c>
      <c r="P18" s="18">
        <f t="shared" si="7"/>
        <v>0</v>
      </c>
      <c r="Q18" s="7"/>
      <c r="R18" s="7"/>
    </row>
    <row r="19" spans="1:18" ht="19.350000000000001" customHeight="1">
      <c r="A19" s="7"/>
      <c r="B19" s="201"/>
      <c r="C19" s="201"/>
      <c r="D19" s="201"/>
      <c r="E19" s="201"/>
      <c r="F19" s="201"/>
      <c r="G19" s="201"/>
      <c r="H19" s="201"/>
      <c r="I19" s="201"/>
      <c r="J19" s="201"/>
      <c r="K19" s="201"/>
      <c r="L19" s="7"/>
      <c r="M19" s="109" t="s">
        <v>359</v>
      </c>
      <c r="N19" s="18">
        <v>35</v>
      </c>
      <c r="O19" s="17">
        <v>0</v>
      </c>
      <c r="P19" s="18">
        <f t="shared" si="7"/>
        <v>0</v>
      </c>
      <c r="Q19" s="7"/>
      <c r="R19" s="7"/>
    </row>
    <row r="20" spans="1:18" ht="19.350000000000001" customHeight="1">
      <c r="A20" s="7"/>
      <c r="L20" s="7"/>
      <c r="M20" s="110" t="s">
        <v>217</v>
      </c>
      <c r="N20" s="18">
        <v>35</v>
      </c>
      <c r="O20" s="17">
        <v>0</v>
      </c>
      <c r="P20" s="18">
        <f t="shared" si="7"/>
        <v>0</v>
      </c>
      <c r="R20" s="7"/>
    </row>
    <row r="21" spans="1:18" ht="19.350000000000001" customHeight="1">
      <c r="M21" s="110" t="s">
        <v>218</v>
      </c>
      <c r="N21" s="18">
        <v>40</v>
      </c>
      <c r="O21" s="17">
        <v>0</v>
      </c>
      <c r="P21" s="18">
        <f t="shared" si="7"/>
        <v>0</v>
      </c>
      <c r="R21" s="7"/>
    </row>
    <row r="22" spans="1:18" ht="19.350000000000001" customHeight="1">
      <c r="A22" s="7"/>
      <c r="L22" s="7"/>
      <c r="M22" s="110" t="s">
        <v>360</v>
      </c>
      <c r="N22" s="18">
        <v>10</v>
      </c>
      <c r="O22" s="17">
        <v>0</v>
      </c>
      <c r="P22" s="18">
        <f t="shared" si="7"/>
        <v>0</v>
      </c>
      <c r="R22" s="7"/>
    </row>
    <row r="23" spans="1:18" ht="19.350000000000001" customHeight="1" thickBot="1">
      <c r="A23" s="7"/>
      <c r="L23" s="7"/>
      <c r="M23" s="110" t="s">
        <v>361</v>
      </c>
      <c r="N23" s="18">
        <v>15</v>
      </c>
      <c r="O23" s="17">
        <v>0</v>
      </c>
      <c r="P23" s="18">
        <f>N23*O23</f>
        <v>0</v>
      </c>
    </row>
    <row r="24" spans="1:18" ht="19.350000000000001" customHeight="1" thickTop="1">
      <c r="A24" s="7"/>
      <c r="L24" s="7"/>
      <c r="M24" s="23"/>
      <c r="N24" s="20" t="s">
        <v>69</v>
      </c>
      <c r="O24" s="206">
        <f>SUM(P10:P23)</f>
        <v>0</v>
      </c>
      <c r="P24" s="206"/>
    </row>
    <row r="25" spans="1:18" ht="19.350000000000001" customHeight="1"/>
  </sheetData>
  <mergeCells count="17">
    <mergeCell ref="B2:K3"/>
    <mergeCell ref="B4:K6"/>
    <mergeCell ref="Q4:Q6"/>
    <mergeCell ref="E7:F7"/>
    <mergeCell ref="B8:D8"/>
    <mergeCell ref="E8:F8"/>
    <mergeCell ref="G8:K8"/>
    <mergeCell ref="E16:F16"/>
    <mergeCell ref="E17:F17"/>
    <mergeCell ref="B18:K19"/>
    <mergeCell ref="O24:P24"/>
    <mergeCell ref="E10:F10"/>
    <mergeCell ref="E11:F11"/>
    <mergeCell ref="E12:F12"/>
    <mergeCell ref="E13:F13"/>
    <mergeCell ref="E14:F14"/>
    <mergeCell ref="E15:F15"/>
  </mergeCells>
  <pageMargins left="0.25" right="0.25" top="0.75" bottom="0.75" header="0.3" footer="0.3"/>
  <pageSetup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C12A4-BA00-4BA0-9946-93199BB3FB10}">
  <dimension ref="A2:Q36"/>
  <sheetViews>
    <sheetView showGridLines="0" workbookViewId="0"/>
  </sheetViews>
  <sheetFormatPr defaultColWidth="9.265625" defaultRowHeight="14.25"/>
  <cols>
    <col min="1" max="1" width="3.86328125" style="25" customWidth="1"/>
    <col min="2" max="3" width="14.73046875" style="25" customWidth="1"/>
    <col min="4" max="4" width="5.59765625" style="25" customWidth="1"/>
    <col min="5" max="5" width="7.265625" style="25" customWidth="1"/>
    <col min="6" max="9" width="10.265625" style="25" customWidth="1"/>
    <col min="10" max="10" width="14.59765625" style="25" customWidth="1"/>
    <col min="11" max="11" width="3.86328125" style="25" customWidth="1"/>
    <col min="12" max="12" width="17" style="25" bestFit="1" customWidth="1"/>
    <col min="13" max="13" width="8.59765625" style="25" bestFit="1" customWidth="1"/>
    <col min="14" max="14" width="10.265625" style="25" customWidth="1"/>
    <col min="15" max="16384" width="9.265625" style="25"/>
  </cols>
  <sheetData>
    <row r="2" spans="2:17" s="7" customFormat="1" ht="19.149999999999999" customHeight="1" thickBot="1">
      <c r="B2" s="196" t="s">
        <v>303</v>
      </c>
      <c r="C2" s="196"/>
      <c r="D2" s="196"/>
      <c r="E2" s="196"/>
      <c r="F2" s="196"/>
      <c r="G2" s="196"/>
      <c r="H2" s="196"/>
      <c r="I2" s="196"/>
      <c r="J2" s="196"/>
      <c r="L2" s="103" t="s">
        <v>22</v>
      </c>
      <c r="M2" s="32"/>
      <c r="N2" s="11"/>
      <c r="O2" s="11"/>
    </row>
    <row r="3" spans="2:17" s="7" customFormat="1" ht="19.149999999999999" customHeight="1">
      <c r="B3" s="196"/>
      <c r="C3" s="196"/>
      <c r="D3" s="196"/>
      <c r="E3" s="196"/>
      <c r="F3" s="196"/>
      <c r="G3" s="196"/>
      <c r="H3" s="196"/>
      <c r="I3" s="196"/>
      <c r="J3" s="196"/>
      <c r="L3" s="35" t="s">
        <v>26</v>
      </c>
      <c r="M3" s="35"/>
      <c r="N3" s="15">
        <v>1</v>
      </c>
      <c r="O3" s="16" t="s">
        <v>27</v>
      </c>
      <c r="P3" s="198" t="s">
        <v>28</v>
      </c>
    </row>
    <row r="4" spans="2:17" s="7" customFormat="1" ht="19.149999999999999" customHeight="1">
      <c r="B4" s="197" t="s">
        <v>304</v>
      </c>
      <c r="C4" s="197"/>
      <c r="D4" s="197"/>
      <c r="E4" s="197"/>
      <c r="F4" s="197"/>
      <c r="G4" s="197"/>
      <c r="H4" s="197"/>
      <c r="I4" s="197"/>
      <c r="J4" s="197"/>
      <c r="L4" s="35" t="s">
        <v>30</v>
      </c>
      <c r="M4" s="35"/>
      <c r="N4" s="15">
        <v>1</v>
      </c>
      <c r="O4" s="16" t="s">
        <v>27</v>
      </c>
      <c r="P4" s="198"/>
    </row>
    <row r="5" spans="2:17" s="7" customFormat="1" ht="19.149999999999999" customHeight="1">
      <c r="B5" s="197"/>
      <c r="C5" s="197"/>
      <c r="D5" s="197"/>
      <c r="E5" s="197"/>
      <c r="F5" s="197"/>
      <c r="G5" s="197"/>
      <c r="H5" s="197"/>
      <c r="I5" s="197"/>
      <c r="J5" s="197"/>
      <c r="L5" s="35"/>
      <c r="M5" s="35"/>
      <c r="N5" s="133"/>
      <c r="O5" s="16"/>
      <c r="P5" s="49"/>
    </row>
    <row r="6" spans="2:17" s="7" customFormat="1" ht="19.149999999999999" customHeight="1">
      <c r="B6" s="197"/>
      <c r="C6" s="197"/>
      <c r="D6" s="197"/>
      <c r="E6" s="197"/>
      <c r="F6" s="197"/>
      <c r="G6" s="197"/>
      <c r="H6" s="197"/>
      <c r="I6" s="197"/>
      <c r="J6" s="197"/>
      <c r="K6" s="9"/>
      <c r="L6" s="35"/>
      <c r="M6" s="35"/>
      <c r="N6" s="133"/>
      <c r="O6" s="16"/>
      <c r="P6" s="49"/>
    </row>
    <row r="7" spans="2:17" s="9" customFormat="1" ht="34.9" customHeight="1">
      <c r="B7" s="8"/>
      <c r="C7" s="8"/>
      <c r="D7" s="202" t="s">
        <v>307</v>
      </c>
      <c r="E7" s="202"/>
      <c r="F7" s="245" t="s">
        <v>90</v>
      </c>
      <c r="G7" s="246"/>
      <c r="H7" s="91"/>
      <c r="I7" s="91"/>
      <c r="J7" s="91"/>
      <c r="K7" s="7"/>
      <c r="L7" s="7"/>
      <c r="M7" s="7"/>
      <c r="N7" s="7"/>
      <c r="O7" s="7"/>
      <c r="P7" s="49"/>
      <c r="Q7" s="7"/>
    </row>
    <row r="8" spans="2:17" s="7" customFormat="1" ht="19.350000000000001" customHeight="1">
      <c r="B8" s="248" t="s">
        <v>305</v>
      </c>
      <c r="C8" s="248"/>
      <c r="D8" s="203" t="s">
        <v>32</v>
      </c>
      <c r="E8" s="203"/>
      <c r="F8" s="204" t="s">
        <v>91</v>
      </c>
      <c r="G8" s="204"/>
      <c r="H8" s="78"/>
      <c r="I8" s="78"/>
      <c r="J8" s="78"/>
    </row>
    <row r="9" spans="2:17" s="7" customFormat="1" ht="21.75" customHeight="1" thickBot="1">
      <c r="B9" s="55" t="s">
        <v>34</v>
      </c>
      <c r="C9" s="55" t="s">
        <v>35</v>
      </c>
      <c r="D9" s="56">
        <v>5</v>
      </c>
      <c r="E9" s="57" t="s">
        <v>37</v>
      </c>
      <c r="F9" s="55" t="s">
        <v>296</v>
      </c>
      <c r="G9" s="55" t="s">
        <v>297</v>
      </c>
      <c r="H9" s="55" t="s">
        <v>298</v>
      </c>
      <c r="I9" s="55" t="s">
        <v>300</v>
      </c>
      <c r="J9" s="55" t="s">
        <v>301</v>
      </c>
      <c r="L9" s="113" t="s">
        <v>47</v>
      </c>
      <c r="M9" s="113"/>
      <c r="N9" s="106" t="s">
        <v>48</v>
      </c>
      <c r="O9" s="107" t="s">
        <v>49</v>
      </c>
    </row>
    <row r="10" spans="2:17" s="7" customFormat="1" ht="19.149999999999999" customHeight="1">
      <c r="B10" s="58" t="s">
        <v>293</v>
      </c>
      <c r="C10" s="59">
        <v>10</v>
      </c>
      <c r="D10" s="249">
        <f>(10*$N$3)+($N$13*$N$4)</f>
        <v>10</v>
      </c>
      <c r="E10" s="249"/>
      <c r="F10" s="134">
        <f>(11*$N$3)+($N$13*$N$4)</f>
        <v>11</v>
      </c>
      <c r="G10" s="135">
        <f>(12*$N$3)+($N$13*$N$4)</f>
        <v>12</v>
      </c>
      <c r="H10" s="135">
        <f>(13*$N$3)+($N$13*$N$4)</f>
        <v>13</v>
      </c>
      <c r="I10" s="135">
        <f>(14*$N$3)+($N$13*$N$4)</f>
        <v>14</v>
      </c>
      <c r="J10" s="135">
        <f>(15*$N$3)+($N$13*$N$4)</f>
        <v>15</v>
      </c>
      <c r="L10" s="108" t="s">
        <v>299</v>
      </c>
      <c r="M10" s="18">
        <v>0</v>
      </c>
      <c r="N10" s="17">
        <v>0</v>
      </c>
      <c r="O10" s="18">
        <f t="shared" ref="O10" si="0">M10*N10</f>
        <v>0</v>
      </c>
    </row>
    <row r="11" spans="2:17" s="7" customFormat="1" ht="19.149999999999999" customHeight="1">
      <c r="B11" s="61" t="s">
        <v>294</v>
      </c>
      <c r="C11" s="62">
        <v>12</v>
      </c>
      <c r="D11" s="205">
        <f>(12*$N$3)+($N$13*$N$4)</f>
        <v>12</v>
      </c>
      <c r="E11" s="205"/>
      <c r="F11" s="94">
        <f>(13*$N$3)+($N$13*$N$4)</f>
        <v>13</v>
      </c>
      <c r="G11" s="136">
        <f>(14*$N$3)+($N$13*$N$4)</f>
        <v>14</v>
      </c>
      <c r="H11" s="136">
        <f>(15*$N$3)+($N$13*$N$4)</f>
        <v>15</v>
      </c>
      <c r="I11" s="136">
        <f>(16*$N$3)+($N$13*$N$4)</f>
        <v>16</v>
      </c>
      <c r="J11" s="136">
        <f>(17*$N$3)+($N$13*$N$4)</f>
        <v>17</v>
      </c>
      <c r="L11" s="114" t="s">
        <v>308</v>
      </c>
      <c r="M11" s="54">
        <v>7</v>
      </c>
      <c r="N11" s="30">
        <v>0</v>
      </c>
      <c r="O11" s="54">
        <f>M11*N11</f>
        <v>0</v>
      </c>
    </row>
    <row r="12" spans="2:17" s="7" customFormat="1" ht="19.149999999999999" customHeight="1" thickBot="1">
      <c r="B12" s="64" t="s">
        <v>295</v>
      </c>
      <c r="C12" s="65">
        <v>24</v>
      </c>
      <c r="D12" s="205">
        <f>(24*$N$3)+($N$13*$N$4)</f>
        <v>24</v>
      </c>
      <c r="E12" s="205"/>
      <c r="F12" s="94">
        <f>(26*$N$3)+($N$13*$N$4)</f>
        <v>26</v>
      </c>
      <c r="G12" s="136">
        <f>(28*$N$3)+($N$13*$N$4)</f>
        <v>28</v>
      </c>
      <c r="H12" s="136">
        <f>(30*$N$3)+($N$13*$N$4)</f>
        <v>30</v>
      </c>
      <c r="I12" s="136">
        <f>(32*$N$3)+($N$13*$N$4)</f>
        <v>32</v>
      </c>
      <c r="J12" s="136">
        <f>(34*$N$3)+($N$13*$N$4)</f>
        <v>34</v>
      </c>
      <c r="L12" s="114"/>
      <c r="M12" s="22"/>
      <c r="N12" s="22"/>
      <c r="O12" s="22"/>
    </row>
    <row r="13" spans="2:17" s="7" customFormat="1" ht="19.149999999999999" customHeight="1" thickTop="1">
      <c r="B13" s="247" t="s">
        <v>302</v>
      </c>
      <c r="C13" s="247"/>
      <c r="D13" s="247"/>
      <c r="E13" s="247"/>
      <c r="F13" s="247"/>
      <c r="G13" s="247"/>
      <c r="H13" s="247"/>
      <c r="I13" s="247"/>
      <c r="J13" s="247"/>
      <c r="L13" s="31"/>
      <c r="M13" s="20" t="s">
        <v>69</v>
      </c>
      <c r="N13" s="218">
        <f>SUM(O10:O12)</f>
        <v>0</v>
      </c>
      <c r="O13" s="218"/>
    </row>
    <row r="14" spans="2:17" s="7" customFormat="1" ht="19.149999999999999" customHeight="1">
      <c r="B14" s="201" t="s">
        <v>306</v>
      </c>
      <c r="C14" s="201"/>
      <c r="D14" s="201"/>
      <c r="E14" s="201"/>
      <c r="F14" s="201"/>
      <c r="G14" s="201"/>
      <c r="H14" s="201"/>
      <c r="I14" s="201"/>
      <c r="J14" s="201"/>
    </row>
    <row r="15" spans="2:17" s="29" customFormat="1" ht="19.149999999999999" customHeight="1">
      <c r="B15" s="25"/>
      <c r="C15" s="25"/>
      <c r="D15" s="25"/>
      <c r="E15" s="25"/>
      <c r="F15" s="25"/>
      <c r="G15" s="7"/>
      <c r="H15" s="7"/>
      <c r="I15" s="7"/>
      <c r="J15" s="7"/>
      <c r="L15" s="25"/>
      <c r="M15" s="25"/>
      <c r="N15" s="25"/>
      <c r="O15" s="25"/>
    </row>
    <row r="16" spans="2:17" s="29" customFormat="1" ht="19.149999999999999" customHeight="1">
      <c r="B16" s="25"/>
      <c r="C16" s="25"/>
      <c r="D16" s="25"/>
      <c r="E16" s="25"/>
      <c r="F16" s="25"/>
      <c r="G16" s="7"/>
      <c r="H16" s="7"/>
      <c r="I16" s="7"/>
      <c r="J16" s="7"/>
      <c r="K16" s="7"/>
      <c r="L16" s="25"/>
      <c r="M16" s="25"/>
      <c r="N16" s="25"/>
      <c r="O16" s="25"/>
      <c r="P16" s="7"/>
      <c r="Q16" s="7"/>
    </row>
    <row r="17" spans="1:17" s="29" customFormat="1" ht="19.149999999999999" customHeight="1">
      <c r="B17" s="25"/>
      <c r="C17" s="25"/>
      <c r="D17" s="25"/>
      <c r="E17" s="25"/>
      <c r="F17" s="25"/>
      <c r="G17" s="25"/>
      <c r="H17" s="25"/>
      <c r="I17" s="25"/>
      <c r="J17" s="25"/>
      <c r="K17" s="7"/>
      <c r="L17" s="25"/>
      <c r="M17" s="25"/>
      <c r="N17" s="25"/>
      <c r="O17" s="25"/>
      <c r="P17" s="7"/>
    </row>
    <row r="18" spans="1:17" s="7" customFormat="1" ht="19.149999999999999" customHeight="1">
      <c r="B18" s="25"/>
      <c r="C18" s="25"/>
      <c r="D18" s="25"/>
      <c r="E18" s="25"/>
      <c r="F18" s="25"/>
      <c r="G18" s="25"/>
      <c r="H18" s="25"/>
      <c r="I18" s="25"/>
      <c r="J18" s="25"/>
      <c r="L18" s="25"/>
      <c r="M18" s="25"/>
      <c r="N18" s="25"/>
      <c r="O18" s="25"/>
    </row>
    <row r="19" spans="1:17" s="29" customFormat="1" ht="19.149999999999999" customHeight="1">
      <c r="B19" s="25"/>
      <c r="C19" s="25"/>
      <c r="D19" s="25"/>
      <c r="E19" s="25"/>
      <c r="F19" s="25"/>
      <c r="G19" s="25"/>
      <c r="H19" s="25"/>
      <c r="I19" s="25"/>
      <c r="J19" s="25"/>
      <c r="K19" s="7"/>
      <c r="L19" s="25"/>
      <c r="M19" s="25"/>
      <c r="N19" s="25"/>
      <c r="O19" s="25"/>
      <c r="P19" s="7"/>
      <c r="Q19" s="7"/>
    </row>
    <row r="20" spans="1:17" s="7" customFormat="1" ht="19.149999999999999" customHeight="1">
      <c r="B20" s="25"/>
      <c r="C20" s="25"/>
      <c r="D20" s="25"/>
      <c r="E20" s="25"/>
      <c r="F20" s="25"/>
      <c r="G20" s="25"/>
      <c r="H20" s="25"/>
      <c r="I20" s="25"/>
      <c r="J20" s="25"/>
      <c r="L20" s="25"/>
      <c r="M20" s="25"/>
      <c r="N20" s="25"/>
      <c r="O20" s="25"/>
    </row>
    <row r="21" spans="1:17" s="7" customFormat="1" ht="19.149999999999999" customHeight="1">
      <c r="B21" s="25"/>
      <c r="C21" s="25"/>
      <c r="D21" s="25"/>
      <c r="E21" s="25"/>
      <c r="F21" s="25"/>
      <c r="G21" s="25"/>
      <c r="H21" s="25"/>
      <c r="I21" s="25"/>
      <c r="J21" s="25"/>
      <c r="L21" s="25"/>
      <c r="M21" s="25"/>
      <c r="N21" s="25"/>
      <c r="O21" s="25"/>
    </row>
    <row r="22" spans="1:17" s="7" customFormat="1" ht="19.149999999999999" customHeight="1">
      <c r="B22" s="25"/>
      <c r="C22" s="25"/>
      <c r="D22" s="25"/>
      <c r="E22" s="25"/>
      <c r="F22" s="25"/>
      <c r="G22" s="25"/>
      <c r="H22" s="25"/>
      <c r="I22" s="25"/>
      <c r="J22" s="25"/>
      <c r="L22" s="25"/>
      <c r="M22" s="25"/>
      <c r="N22" s="25"/>
      <c r="O22" s="25"/>
    </row>
    <row r="23" spans="1:17" s="7" customFormat="1" ht="19.149999999999999" customHeight="1">
      <c r="B23" s="25"/>
      <c r="C23" s="25"/>
      <c r="D23" s="25"/>
      <c r="E23" s="25"/>
      <c r="F23" s="25"/>
      <c r="G23" s="25"/>
      <c r="H23" s="25"/>
      <c r="I23" s="25"/>
      <c r="J23" s="25"/>
      <c r="L23" s="25"/>
      <c r="M23" s="25"/>
      <c r="N23" s="25"/>
      <c r="O23" s="25"/>
    </row>
    <row r="24" spans="1:17" s="7" customFormat="1" ht="19.149999999999999" customHeight="1">
      <c r="B24" s="25"/>
      <c r="C24" s="25"/>
      <c r="D24" s="25"/>
      <c r="E24" s="25"/>
      <c r="F24" s="25"/>
      <c r="G24" s="25"/>
      <c r="H24" s="25"/>
      <c r="I24" s="25"/>
      <c r="J24" s="25"/>
      <c r="L24" s="25"/>
      <c r="M24" s="25"/>
      <c r="N24" s="25"/>
      <c r="O24" s="25"/>
      <c r="P24" s="25"/>
    </row>
    <row r="25" spans="1:17" s="7" customFormat="1" ht="19.149999999999999" customHeight="1">
      <c r="B25" s="25"/>
      <c r="C25" s="25"/>
      <c r="D25" s="25"/>
      <c r="E25" s="25"/>
      <c r="F25" s="25"/>
      <c r="G25" s="25"/>
      <c r="H25" s="25"/>
      <c r="I25" s="25"/>
      <c r="J25" s="25"/>
      <c r="K25" s="25"/>
      <c r="L25" s="25"/>
      <c r="M25" s="25"/>
      <c r="N25" s="25"/>
      <c r="O25" s="25"/>
      <c r="P25" s="25"/>
    </row>
    <row r="26" spans="1:17" s="7" customFormat="1" ht="19.149999999999999" customHeight="1">
      <c r="B26" s="25"/>
      <c r="C26" s="25"/>
      <c r="D26" s="25"/>
      <c r="E26" s="25"/>
      <c r="F26" s="25"/>
      <c r="G26" s="25"/>
      <c r="H26" s="25"/>
      <c r="I26" s="25"/>
      <c r="J26" s="25"/>
      <c r="K26" s="25"/>
      <c r="L26" s="25"/>
      <c r="M26" s="25"/>
      <c r="N26" s="25"/>
      <c r="O26" s="25"/>
      <c r="P26" s="25"/>
    </row>
    <row r="27" spans="1:17" s="7" customFormat="1" ht="19.149999999999999" customHeight="1">
      <c r="B27" s="25"/>
      <c r="C27" s="25"/>
      <c r="D27" s="25"/>
      <c r="E27" s="25"/>
      <c r="F27" s="25"/>
      <c r="G27" s="25"/>
      <c r="H27" s="25"/>
      <c r="I27" s="25"/>
      <c r="J27" s="25"/>
      <c r="K27" s="25"/>
      <c r="L27" s="25"/>
      <c r="M27" s="25"/>
      <c r="N27" s="25"/>
      <c r="O27" s="25"/>
      <c r="P27" s="25"/>
    </row>
    <row r="28" spans="1:17" s="7" customFormat="1" ht="19.149999999999999" customHeight="1">
      <c r="B28" s="25"/>
      <c r="C28" s="25"/>
      <c r="D28" s="25"/>
      <c r="E28" s="25"/>
      <c r="F28" s="25"/>
      <c r="G28" s="25"/>
      <c r="H28" s="25"/>
      <c r="I28" s="25"/>
      <c r="J28" s="25"/>
      <c r="K28" s="25"/>
      <c r="L28" s="25"/>
      <c r="M28" s="25"/>
      <c r="N28" s="25"/>
      <c r="O28" s="25"/>
      <c r="P28" s="25"/>
    </row>
    <row r="29" spans="1:17" s="7" customFormat="1" ht="19.149999999999999" customHeight="1">
      <c r="B29" s="25"/>
      <c r="C29" s="25"/>
      <c r="D29" s="25"/>
      <c r="E29" s="25"/>
      <c r="F29" s="25"/>
      <c r="G29" s="25"/>
      <c r="H29" s="25"/>
      <c r="I29" s="25"/>
      <c r="J29" s="25"/>
      <c r="K29" s="25"/>
      <c r="L29" s="25"/>
      <c r="M29" s="25"/>
      <c r="N29" s="25"/>
      <c r="O29" s="25"/>
      <c r="P29" s="25"/>
    </row>
    <row r="30" spans="1:17" s="7" customFormat="1" ht="19.149999999999999" customHeight="1">
      <c r="A30" s="25"/>
      <c r="B30" s="25"/>
      <c r="C30" s="25"/>
      <c r="D30" s="25"/>
      <c r="E30" s="25"/>
      <c r="F30" s="25"/>
      <c r="G30" s="25"/>
      <c r="H30" s="25"/>
      <c r="I30" s="25"/>
      <c r="J30" s="25"/>
      <c r="K30" s="25"/>
      <c r="L30" s="25"/>
      <c r="M30" s="25"/>
      <c r="N30" s="25"/>
      <c r="O30" s="25"/>
      <c r="P30" s="25"/>
      <c r="Q30" s="25"/>
    </row>
    <row r="31" spans="1:17" s="7" customFormat="1" ht="19.149999999999999" customHeight="1">
      <c r="A31" s="25"/>
      <c r="B31" s="25"/>
      <c r="C31" s="25"/>
      <c r="D31" s="25"/>
      <c r="E31" s="25"/>
      <c r="F31" s="25"/>
      <c r="G31" s="25"/>
      <c r="H31" s="25"/>
      <c r="I31" s="25"/>
      <c r="J31" s="25"/>
      <c r="K31" s="25"/>
      <c r="L31" s="25"/>
      <c r="M31" s="25"/>
      <c r="N31" s="25"/>
      <c r="O31" s="25"/>
      <c r="P31" s="25"/>
      <c r="Q31" s="25"/>
    </row>
    <row r="32" spans="1:17" ht="19.149999999999999" customHeight="1"/>
    <row r="33" ht="19.149999999999999" customHeight="1"/>
    <row r="34" ht="19.149999999999999" customHeight="1"/>
    <row r="35" ht="19.149999999999999" customHeight="1"/>
    <row r="36" ht="19.149999999999999" customHeight="1"/>
  </sheetData>
  <sheetProtection algorithmName="SHA-512" hashValue="9RsgEb0CYl8papgwbhyZDEOmRw33Zt/DFyBkvahayOmJwuWFRfscU+C1LPSk5U0rMP48HdlH+W3g6nkpBvRZqg==" saltValue="XjDHre9ubhNaNt/2WNAKhQ==" spinCount="100000" sheet="1" objects="1" scenarios="1"/>
  <mergeCells count="14">
    <mergeCell ref="B14:J14"/>
    <mergeCell ref="P3:P4"/>
    <mergeCell ref="D10:E10"/>
    <mergeCell ref="D11:E11"/>
    <mergeCell ref="D12:E12"/>
    <mergeCell ref="B13:J13"/>
    <mergeCell ref="N13:O13"/>
    <mergeCell ref="B2:J3"/>
    <mergeCell ref="B4:J6"/>
    <mergeCell ref="D7:E7"/>
    <mergeCell ref="F7:G7"/>
    <mergeCell ref="B8:C8"/>
    <mergeCell ref="D8:E8"/>
    <mergeCell ref="F8:G8"/>
  </mergeCells>
  <pageMargins left="0.25" right="0.25" top="0.75" bottom="0.75" header="0.3" footer="0.3"/>
  <pageSetup paperSize="9"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8863-107A-4A2B-A9ED-662EB5F55470}">
  <dimension ref="A2:V42"/>
  <sheetViews>
    <sheetView showGridLines="0" topLeftCell="F1" zoomScaleNormal="100" workbookViewId="0"/>
  </sheetViews>
  <sheetFormatPr defaultColWidth="9.265625" defaultRowHeight="14.25"/>
  <cols>
    <col min="1" max="1" width="3.86328125" style="25" customWidth="1"/>
    <col min="2" max="4" width="14.73046875" style="25" customWidth="1"/>
    <col min="5" max="5" width="5.59765625" style="25" customWidth="1"/>
    <col min="6" max="6" width="7.265625" style="25" customWidth="1"/>
    <col min="7" max="14" width="11.59765625" style="25" customWidth="1"/>
    <col min="15" max="15" width="3.86328125" style="25" customWidth="1"/>
    <col min="16" max="16" width="32.59765625" style="25" customWidth="1"/>
    <col min="17" max="17" width="8.59765625" style="25" customWidth="1"/>
    <col min="18" max="18" width="10.265625" style="25" customWidth="1"/>
    <col min="19" max="16384" width="9.265625" style="25"/>
  </cols>
  <sheetData>
    <row r="2" spans="2:22" ht="19.5" customHeight="1" thickBot="1">
      <c r="B2" s="196" t="s">
        <v>321</v>
      </c>
      <c r="C2" s="196"/>
      <c r="D2" s="196"/>
      <c r="E2" s="196"/>
      <c r="F2" s="196"/>
      <c r="G2" s="196"/>
      <c r="H2" s="196"/>
      <c r="I2" s="196"/>
      <c r="J2" s="196"/>
      <c r="K2" s="196"/>
      <c r="L2" s="196"/>
      <c r="M2" s="196"/>
      <c r="N2" s="196"/>
      <c r="P2" s="103" t="s">
        <v>22</v>
      </c>
      <c r="Q2" s="32"/>
      <c r="R2" s="11"/>
      <c r="S2" s="11"/>
      <c r="T2" s="7"/>
      <c r="U2" s="7"/>
      <c r="V2" s="7"/>
    </row>
    <row r="3" spans="2:22" ht="19.5" customHeight="1">
      <c r="B3" s="196"/>
      <c r="C3" s="196"/>
      <c r="D3" s="196"/>
      <c r="E3" s="196"/>
      <c r="F3" s="196"/>
      <c r="G3" s="196"/>
      <c r="H3" s="196"/>
      <c r="I3" s="196"/>
      <c r="J3" s="196"/>
      <c r="K3" s="196"/>
      <c r="L3" s="196"/>
      <c r="M3" s="196"/>
      <c r="N3" s="196"/>
      <c r="P3" s="35" t="s">
        <v>26</v>
      </c>
      <c r="Q3" s="35"/>
      <c r="R3" s="15">
        <v>1</v>
      </c>
      <c r="S3" s="16" t="s">
        <v>27</v>
      </c>
      <c r="T3" s="198" t="s">
        <v>28</v>
      </c>
      <c r="U3" s="7"/>
      <c r="V3" s="7"/>
    </row>
    <row r="4" spans="2:22" ht="19.5" customHeight="1">
      <c r="B4" s="197" t="s">
        <v>322</v>
      </c>
      <c r="C4" s="197"/>
      <c r="D4" s="197"/>
      <c r="E4" s="197"/>
      <c r="F4" s="197"/>
      <c r="G4" s="197"/>
      <c r="H4" s="197"/>
      <c r="I4" s="197"/>
      <c r="J4" s="197"/>
      <c r="K4" s="197"/>
      <c r="L4" s="197"/>
      <c r="M4" s="197"/>
      <c r="N4" s="197"/>
      <c r="P4" s="35" t="s">
        <v>29</v>
      </c>
      <c r="Q4" s="35"/>
      <c r="R4" s="15">
        <v>1</v>
      </c>
      <c r="S4" s="16" t="s">
        <v>27</v>
      </c>
      <c r="T4" s="198"/>
      <c r="U4" s="7"/>
      <c r="V4" s="7"/>
    </row>
    <row r="5" spans="2:22" ht="19.5" customHeight="1">
      <c r="B5" s="197"/>
      <c r="C5" s="197"/>
      <c r="D5" s="197"/>
      <c r="E5" s="197"/>
      <c r="F5" s="197"/>
      <c r="G5" s="197"/>
      <c r="H5" s="197"/>
      <c r="I5" s="197"/>
      <c r="J5" s="197"/>
      <c r="K5" s="197"/>
      <c r="L5" s="197"/>
      <c r="M5" s="197"/>
      <c r="N5" s="197"/>
      <c r="P5" s="35" t="s">
        <v>30</v>
      </c>
      <c r="Q5" s="35"/>
      <c r="R5" s="15">
        <v>1</v>
      </c>
      <c r="S5" s="16" t="s">
        <v>27</v>
      </c>
      <c r="T5" s="198"/>
      <c r="U5" s="7"/>
      <c r="V5" s="7"/>
    </row>
    <row r="6" spans="2:22" ht="19.5" customHeight="1">
      <c r="B6" s="197"/>
      <c r="C6" s="197"/>
      <c r="D6" s="197"/>
      <c r="E6" s="197"/>
      <c r="F6" s="197"/>
      <c r="G6" s="197"/>
      <c r="H6" s="197"/>
      <c r="I6" s="197"/>
      <c r="J6" s="197"/>
      <c r="K6" s="197"/>
      <c r="L6" s="197"/>
      <c r="M6" s="197"/>
      <c r="N6" s="197"/>
      <c r="P6" s="9"/>
      <c r="Q6" s="9"/>
      <c r="R6" s="9"/>
      <c r="S6" s="9"/>
      <c r="T6" s="9"/>
      <c r="U6" s="9"/>
      <c r="V6" s="7"/>
    </row>
    <row r="7" spans="2:22" s="9" customFormat="1" ht="35.1" customHeight="1">
      <c r="B7" s="8"/>
      <c r="C7" s="8"/>
      <c r="D7" s="8"/>
      <c r="E7" s="202" t="s">
        <v>341</v>
      </c>
      <c r="F7" s="202"/>
      <c r="G7" s="8"/>
      <c r="H7" s="8"/>
      <c r="I7" s="8"/>
      <c r="J7" s="8"/>
      <c r="K7" s="8"/>
      <c r="L7" s="8"/>
      <c r="M7" s="8"/>
      <c r="N7" s="8"/>
    </row>
    <row r="8" spans="2:22" s="7" customFormat="1" ht="19.350000000000001" customHeight="1">
      <c r="C8" s="7" t="s">
        <v>323</v>
      </c>
      <c r="D8" s="7" t="s">
        <v>324</v>
      </c>
      <c r="E8" s="203" t="s">
        <v>32</v>
      </c>
      <c r="F8" s="203"/>
      <c r="G8" s="204" t="s">
        <v>211</v>
      </c>
      <c r="H8" s="204"/>
      <c r="I8" s="204"/>
      <c r="J8" s="204"/>
      <c r="K8" s="204"/>
      <c r="L8" s="204"/>
      <c r="M8" s="204"/>
      <c r="N8" s="204"/>
      <c r="V8" s="9"/>
    </row>
    <row r="9" spans="2:22" s="7" customFormat="1" ht="21.95" customHeight="1" thickBot="1">
      <c r="B9" s="55" t="s">
        <v>34</v>
      </c>
      <c r="C9" s="55" t="s">
        <v>35</v>
      </c>
      <c r="D9" s="55" t="s">
        <v>339</v>
      </c>
      <c r="E9" s="56">
        <v>40</v>
      </c>
      <c r="F9" s="57" t="s">
        <v>325</v>
      </c>
      <c r="G9" s="55" t="s">
        <v>326</v>
      </c>
      <c r="H9" s="55" t="s">
        <v>327</v>
      </c>
      <c r="I9" s="55" t="s">
        <v>328</v>
      </c>
      <c r="J9" s="55" t="s">
        <v>329</v>
      </c>
      <c r="K9" s="55" t="s">
        <v>330</v>
      </c>
      <c r="L9" s="55" t="s">
        <v>331</v>
      </c>
      <c r="M9" s="55" t="s">
        <v>332</v>
      </c>
      <c r="N9" s="55" t="s">
        <v>333</v>
      </c>
      <c r="P9" s="103" t="s">
        <v>47</v>
      </c>
      <c r="Q9" s="103"/>
      <c r="R9" s="106" t="s">
        <v>48</v>
      </c>
      <c r="S9" s="107" t="s">
        <v>49</v>
      </c>
    </row>
    <row r="10" spans="2:22" s="7" customFormat="1" ht="19.5" customHeight="1">
      <c r="B10" s="61" t="s">
        <v>54</v>
      </c>
      <c r="C10" s="62">
        <f>50*$R$3</f>
        <v>50</v>
      </c>
      <c r="D10" s="62">
        <f>5*$R$4</f>
        <v>5</v>
      </c>
      <c r="E10" s="205">
        <f>C10+($R$32*$R$5)</f>
        <v>50</v>
      </c>
      <c r="F10" s="205"/>
      <c r="G10" s="62">
        <f>$E10+($D10*1)</f>
        <v>55</v>
      </c>
      <c r="H10" s="62">
        <f>$E10+($D10*2)</f>
        <v>60</v>
      </c>
      <c r="I10" s="62">
        <f>$E10+($D10*3)</f>
        <v>65</v>
      </c>
      <c r="J10" s="62">
        <f>$E10+($D10*4)</f>
        <v>70</v>
      </c>
      <c r="K10" s="62">
        <f>$E10+($D10*5)</f>
        <v>75</v>
      </c>
      <c r="L10" s="62">
        <f>$E10+($D10*6)</f>
        <v>80</v>
      </c>
      <c r="M10" s="62">
        <f>$E10+($D10*7)</f>
        <v>85</v>
      </c>
      <c r="N10" s="62">
        <f>$E10+($D10*8)</f>
        <v>90</v>
      </c>
      <c r="P10" s="108" t="s">
        <v>51</v>
      </c>
      <c r="Q10" s="18">
        <v>13</v>
      </c>
      <c r="R10" s="17">
        <v>0</v>
      </c>
      <c r="S10" s="18">
        <f t="shared" ref="S10:S27" si="0">Q10*R10</f>
        <v>0</v>
      </c>
    </row>
    <row r="11" spans="2:22" s="7" customFormat="1" ht="19.5" customHeight="1">
      <c r="B11" s="71" t="s">
        <v>336</v>
      </c>
      <c r="C11" s="62">
        <f>70*$R$3</f>
        <v>70</v>
      </c>
      <c r="D11" s="62">
        <f>6*$R$4</f>
        <v>6</v>
      </c>
      <c r="E11" s="205">
        <f>C11+($R$32*$R$5)</f>
        <v>70</v>
      </c>
      <c r="F11" s="205"/>
      <c r="G11" s="62">
        <f t="shared" ref="G11:G14" si="1">$E11+($D11*1)</f>
        <v>76</v>
      </c>
      <c r="H11" s="62">
        <f t="shared" ref="H11:H14" si="2">$E11+($D11*2)</f>
        <v>82</v>
      </c>
      <c r="I11" s="62">
        <f t="shared" ref="I11:I14" si="3">$E11+($D11*3)</f>
        <v>88</v>
      </c>
      <c r="J11" s="62">
        <f t="shared" ref="J11:J14" si="4">$E11+($D11*4)</f>
        <v>94</v>
      </c>
      <c r="K11" s="62">
        <f t="shared" ref="K11:K14" si="5">$E11+($D11*5)</f>
        <v>100</v>
      </c>
      <c r="L11" s="62">
        <f t="shared" ref="L11:L14" si="6">$E11+($D11*6)</f>
        <v>106</v>
      </c>
      <c r="M11" s="62">
        <f t="shared" ref="M11:M14" si="7">$E11+($D11*7)</f>
        <v>112</v>
      </c>
      <c r="N11" s="62">
        <f t="shared" ref="N11:N14" si="8">$E11+($D11*8)</f>
        <v>118</v>
      </c>
      <c r="P11" s="108" t="s">
        <v>53</v>
      </c>
      <c r="Q11" s="18">
        <v>45</v>
      </c>
      <c r="R11" s="17">
        <v>0</v>
      </c>
      <c r="S11" s="18">
        <f t="shared" si="0"/>
        <v>0</v>
      </c>
    </row>
    <row r="12" spans="2:22" s="7" customFormat="1" ht="19.5" customHeight="1">
      <c r="B12" s="61" t="s">
        <v>58</v>
      </c>
      <c r="C12" s="62">
        <f>70*$R$3</f>
        <v>70</v>
      </c>
      <c r="D12" s="62">
        <f>6*$R$4</f>
        <v>6</v>
      </c>
      <c r="E12" s="205">
        <f>C12+($R$32*$R$5)</f>
        <v>70</v>
      </c>
      <c r="F12" s="205"/>
      <c r="G12" s="62">
        <f t="shared" si="1"/>
        <v>76</v>
      </c>
      <c r="H12" s="62">
        <f t="shared" si="2"/>
        <v>82</v>
      </c>
      <c r="I12" s="62">
        <f t="shared" si="3"/>
        <v>88</v>
      </c>
      <c r="J12" s="62">
        <f t="shared" si="4"/>
        <v>94</v>
      </c>
      <c r="K12" s="62">
        <f t="shared" si="5"/>
        <v>100</v>
      </c>
      <c r="L12" s="62">
        <f t="shared" si="6"/>
        <v>106</v>
      </c>
      <c r="M12" s="62">
        <f t="shared" si="7"/>
        <v>112</v>
      </c>
      <c r="N12" s="62">
        <f t="shared" si="8"/>
        <v>118</v>
      </c>
      <c r="P12" s="109" t="s">
        <v>55</v>
      </c>
      <c r="Q12" s="18">
        <v>85</v>
      </c>
      <c r="R12" s="17">
        <v>0</v>
      </c>
      <c r="S12" s="18">
        <f t="shared" si="0"/>
        <v>0</v>
      </c>
    </row>
    <row r="13" spans="2:22" s="7" customFormat="1" ht="19.5" customHeight="1">
      <c r="B13" s="71" t="s">
        <v>337</v>
      </c>
      <c r="C13" s="62">
        <f>90*$R$3</f>
        <v>90</v>
      </c>
      <c r="D13" s="62">
        <f>7*$R$4</f>
        <v>7</v>
      </c>
      <c r="E13" s="205">
        <f>C13+($R$32*$R$5)</f>
        <v>90</v>
      </c>
      <c r="F13" s="205"/>
      <c r="G13" s="62">
        <f t="shared" si="1"/>
        <v>97</v>
      </c>
      <c r="H13" s="62">
        <f t="shared" si="2"/>
        <v>104</v>
      </c>
      <c r="I13" s="62">
        <f t="shared" si="3"/>
        <v>111</v>
      </c>
      <c r="J13" s="62">
        <f t="shared" si="4"/>
        <v>118</v>
      </c>
      <c r="K13" s="62">
        <f t="shared" si="5"/>
        <v>125</v>
      </c>
      <c r="L13" s="62">
        <f t="shared" si="6"/>
        <v>132</v>
      </c>
      <c r="M13" s="62">
        <f t="shared" si="7"/>
        <v>139</v>
      </c>
      <c r="N13" s="62">
        <f t="shared" si="8"/>
        <v>146</v>
      </c>
      <c r="P13" s="109" t="s">
        <v>180</v>
      </c>
      <c r="Q13" s="18">
        <v>95</v>
      </c>
      <c r="R13" s="17">
        <v>0</v>
      </c>
      <c r="S13" s="18">
        <f t="shared" si="0"/>
        <v>0</v>
      </c>
    </row>
    <row r="14" spans="2:22" s="7" customFormat="1" ht="19.5" customHeight="1" thickBot="1">
      <c r="B14" s="68" t="s">
        <v>338</v>
      </c>
      <c r="C14" s="62">
        <f>110*$R$3</f>
        <v>110</v>
      </c>
      <c r="D14" s="62">
        <f>8*$R$4</f>
        <v>8</v>
      </c>
      <c r="E14" s="205">
        <f>C14+($R$32*$R$5)</f>
        <v>110</v>
      </c>
      <c r="F14" s="205"/>
      <c r="G14" s="62">
        <f t="shared" si="1"/>
        <v>118</v>
      </c>
      <c r="H14" s="62">
        <f t="shared" si="2"/>
        <v>126</v>
      </c>
      <c r="I14" s="62">
        <f t="shared" si="3"/>
        <v>134</v>
      </c>
      <c r="J14" s="62">
        <f t="shared" si="4"/>
        <v>142</v>
      </c>
      <c r="K14" s="62">
        <f t="shared" si="5"/>
        <v>150</v>
      </c>
      <c r="L14" s="62">
        <f t="shared" si="6"/>
        <v>158</v>
      </c>
      <c r="M14" s="62">
        <f t="shared" si="7"/>
        <v>166</v>
      </c>
      <c r="N14" s="62">
        <f t="shared" si="8"/>
        <v>174</v>
      </c>
      <c r="P14" s="108" t="s">
        <v>57</v>
      </c>
      <c r="Q14" s="18">
        <v>55</v>
      </c>
      <c r="R14" s="17">
        <v>0</v>
      </c>
      <c r="S14" s="18">
        <f t="shared" si="0"/>
        <v>0</v>
      </c>
    </row>
    <row r="15" spans="2:22" s="7" customFormat="1" ht="19.5" customHeight="1">
      <c r="B15" s="200" t="s">
        <v>340</v>
      </c>
      <c r="C15" s="200"/>
      <c r="D15" s="200"/>
      <c r="E15" s="200"/>
      <c r="F15" s="200"/>
      <c r="G15" s="200"/>
      <c r="H15" s="200"/>
      <c r="I15" s="200"/>
      <c r="J15" s="200"/>
      <c r="K15" s="200"/>
      <c r="L15" s="200"/>
      <c r="M15" s="200"/>
      <c r="N15" s="200"/>
      <c r="P15" s="108" t="s">
        <v>181</v>
      </c>
      <c r="Q15" s="18">
        <v>18</v>
      </c>
      <c r="R15" s="17">
        <v>0</v>
      </c>
      <c r="S15" s="18">
        <f t="shared" si="0"/>
        <v>0</v>
      </c>
    </row>
    <row r="16" spans="2:22" s="7" customFormat="1" ht="19.5" customHeight="1">
      <c r="B16" s="201"/>
      <c r="C16" s="201"/>
      <c r="D16" s="201"/>
      <c r="E16" s="201"/>
      <c r="F16" s="201"/>
      <c r="G16" s="201"/>
      <c r="H16" s="201"/>
      <c r="I16" s="201"/>
      <c r="J16" s="201"/>
      <c r="K16" s="201"/>
      <c r="L16" s="201"/>
      <c r="M16" s="201"/>
      <c r="N16" s="201"/>
      <c r="P16" s="110" t="s">
        <v>59</v>
      </c>
      <c r="Q16" s="18">
        <v>45</v>
      </c>
      <c r="R16" s="17">
        <v>0</v>
      </c>
      <c r="S16" s="18">
        <f t="shared" si="0"/>
        <v>0</v>
      </c>
    </row>
    <row r="17" spans="1:22" s="7" customFormat="1" ht="19.5" customHeight="1">
      <c r="B17" s="21"/>
      <c r="C17" s="21"/>
      <c r="D17" s="21"/>
      <c r="E17" s="21"/>
      <c r="F17" s="21"/>
      <c r="G17" s="21"/>
      <c r="H17" s="21"/>
      <c r="I17" s="21"/>
      <c r="J17" s="21"/>
      <c r="K17" s="21"/>
      <c r="L17" s="21"/>
      <c r="M17" s="21"/>
      <c r="N17" s="21"/>
      <c r="P17" s="110" t="s">
        <v>253</v>
      </c>
      <c r="Q17" s="18">
        <v>25</v>
      </c>
      <c r="R17" s="17">
        <v>0</v>
      </c>
      <c r="S17" s="18">
        <f t="shared" si="0"/>
        <v>0</v>
      </c>
    </row>
    <row r="18" spans="1:22" s="7" customFormat="1" ht="19.5" customHeight="1">
      <c r="B18" s="250" t="s">
        <v>334</v>
      </c>
      <c r="C18" s="250"/>
      <c r="D18" s="250"/>
      <c r="E18" s="8"/>
      <c r="F18" s="25"/>
      <c r="G18" s="25"/>
      <c r="H18" s="25"/>
      <c r="I18" s="25"/>
      <c r="J18" s="25"/>
      <c r="K18" s="25"/>
      <c r="L18" s="25"/>
      <c r="M18" s="25"/>
      <c r="N18" s="25"/>
      <c r="P18" s="110" t="s">
        <v>184</v>
      </c>
      <c r="Q18" s="18">
        <v>30</v>
      </c>
      <c r="R18" s="17">
        <v>0</v>
      </c>
      <c r="S18" s="18">
        <f>Q18*R18</f>
        <v>0</v>
      </c>
    </row>
    <row r="19" spans="1:22" s="7" customFormat="1" ht="19.5" customHeight="1">
      <c r="B19" s="250"/>
      <c r="C19" s="250"/>
      <c r="D19" s="250"/>
      <c r="E19" s="25"/>
      <c r="F19" s="25"/>
      <c r="G19" s="94"/>
      <c r="H19" s="94"/>
      <c r="I19" s="95"/>
      <c r="J19" s="25"/>
      <c r="K19" s="25"/>
      <c r="L19" s="25"/>
      <c r="M19" s="25"/>
      <c r="N19" s="25"/>
      <c r="P19" s="110" t="s">
        <v>367</v>
      </c>
      <c r="Q19" s="18">
        <v>0</v>
      </c>
      <c r="R19" s="17">
        <v>0</v>
      </c>
      <c r="S19" s="18">
        <f>Q19*R19</f>
        <v>0</v>
      </c>
    </row>
    <row r="20" spans="1:22" s="7" customFormat="1" ht="19.5" customHeight="1">
      <c r="B20" s="197" t="s">
        <v>335</v>
      </c>
      <c r="C20" s="197"/>
      <c r="D20" s="197"/>
      <c r="E20" s="25"/>
      <c r="F20" s="25"/>
      <c r="G20" s="94"/>
      <c r="H20" s="94"/>
      <c r="I20" s="95"/>
      <c r="J20" s="25"/>
      <c r="K20" s="25"/>
      <c r="L20" s="25"/>
      <c r="M20" s="25"/>
      <c r="N20" s="25"/>
      <c r="P20" s="108" t="s">
        <v>62</v>
      </c>
      <c r="Q20" s="18">
        <v>18</v>
      </c>
      <c r="R20" s="17">
        <v>0</v>
      </c>
      <c r="S20" s="18">
        <f t="shared" si="0"/>
        <v>0</v>
      </c>
    </row>
    <row r="21" spans="1:22" s="7" customFormat="1" ht="19.5" customHeight="1">
      <c r="B21" s="197"/>
      <c r="C21" s="197"/>
      <c r="D21" s="197"/>
      <c r="E21" s="25"/>
      <c r="F21" s="25"/>
      <c r="G21" s="94"/>
      <c r="H21" s="94"/>
      <c r="I21" s="95"/>
      <c r="J21" s="25"/>
      <c r="K21" s="25"/>
      <c r="L21" s="25"/>
      <c r="M21" s="25"/>
      <c r="N21" s="25"/>
      <c r="P21" s="108" t="s">
        <v>254</v>
      </c>
      <c r="Q21" s="18">
        <v>18</v>
      </c>
      <c r="R21" s="17">
        <v>0</v>
      </c>
      <c r="S21" s="18">
        <f t="shared" si="0"/>
        <v>0</v>
      </c>
    </row>
    <row r="22" spans="1:22" s="7" customFormat="1" ht="19.5" customHeight="1">
      <c r="B22" s="9"/>
      <c r="C22" s="9"/>
      <c r="D22" s="9"/>
      <c r="E22" s="25"/>
      <c r="F22" s="25"/>
      <c r="G22" s="94"/>
      <c r="H22" s="94"/>
      <c r="I22" s="95"/>
      <c r="J22" s="25"/>
      <c r="K22" s="25"/>
      <c r="L22" s="25"/>
      <c r="M22" s="25"/>
      <c r="N22" s="25"/>
      <c r="P22" s="109" t="s">
        <v>255</v>
      </c>
      <c r="Q22" s="18">
        <v>27</v>
      </c>
      <c r="R22" s="17">
        <v>0</v>
      </c>
      <c r="S22" s="18">
        <f t="shared" si="0"/>
        <v>0</v>
      </c>
    </row>
    <row r="23" spans="1:22" s="7" customFormat="1" ht="19.5" customHeight="1" thickBot="1">
      <c r="A23" s="25"/>
      <c r="B23" s="55" t="s">
        <v>34</v>
      </c>
      <c r="C23" s="55" t="s">
        <v>141</v>
      </c>
      <c r="D23" s="55" t="s">
        <v>142</v>
      </c>
      <c r="E23" s="25"/>
      <c r="F23" s="25"/>
      <c r="G23" s="94"/>
      <c r="H23" s="94"/>
      <c r="I23" s="95"/>
      <c r="J23" s="25"/>
      <c r="K23" s="25"/>
      <c r="L23" s="25"/>
      <c r="M23" s="25"/>
      <c r="N23" s="25"/>
      <c r="P23" s="109" t="s">
        <v>256</v>
      </c>
      <c r="Q23" s="18">
        <v>32</v>
      </c>
      <c r="R23" s="17">
        <v>0</v>
      </c>
      <c r="S23" s="18">
        <f t="shared" si="0"/>
        <v>0</v>
      </c>
    </row>
    <row r="24" spans="1:22" s="7" customFormat="1" ht="19.5" customHeight="1">
      <c r="A24" s="25"/>
      <c r="B24" s="61" t="s">
        <v>54</v>
      </c>
      <c r="C24" s="95">
        <v>40</v>
      </c>
      <c r="D24" s="95">
        <v>50</v>
      </c>
      <c r="E24" s="25"/>
      <c r="F24" s="25"/>
      <c r="G24" s="94"/>
      <c r="H24" s="94"/>
      <c r="I24" s="95"/>
      <c r="J24" s="25"/>
      <c r="K24" s="25"/>
      <c r="L24" s="25"/>
      <c r="M24" s="25"/>
      <c r="N24" s="25"/>
      <c r="P24" s="109" t="s">
        <v>257</v>
      </c>
      <c r="Q24" s="18">
        <v>37</v>
      </c>
      <c r="R24" s="17">
        <v>0</v>
      </c>
      <c r="S24" s="18">
        <f t="shared" si="0"/>
        <v>0</v>
      </c>
    </row>
    <row r="25" spans="1:22" s="7" customFormat="1" ht="19.5" customHeight="1">
      <c r="A25" s="25"/>
      <c r="B25" s="71" t="s">
        <v>336</v>
      </c>
      <c r="C25" s="95">
        <v>55</v>
      </c>
      <c r="D25" s="95">
        <v>65</v>
      </c>
      <c r="E25" s="25"/>
      <c r="F25" s="25"/>
      <c r="G25" s="94"/>
      <c r="H25" s="94"/>
      <c r="I25" s="95"/>
      <c r="J25" s="25"/>
      <c r="K25" s="25"/>
      <c r="L25" s="25"/>
      <c r="M25" s="25"/>
      <c r="N25" s="25"/>
      <c r="P25" s="108" t="s">
        <v>182</v>
      </c>
      <c r="Q25" s="18">
        <v>18</v>
      </c>
      <c r="R25" s="17">
        <v>0</v>
      </c>
      <c r="S25" s="18">
        <f t="shared" si="0"/>
        <v>0</v>
      </c>
    </row>
    <row r="26" spans="1:22" s="7" customFormat="1" ht="19.5" customHeight="1">
      <c r="A26" s="25"/>
      <c r="B26" s="61" t="s">
        <v>58</v>
      </c>
      <c r="C26" s="95">
        <v>55</v>
      </c>
      <c r="D26" s="95">
        <v>65</v>
      </c>
      <c r="E26" s="25"/>
      <c r="F26" s="25"/>
      <c r="G26" s="94"/>
      <c r="H26" s="94"/>
      <c r="I26" s="95"/>
      <c r="J26" s="25"/>
      <c r="K26" s="25"/>
      <c r="L26" s="25"/>
      <c r="M26" s="25"/>
      <c r="N26" s="25"/>
      <c r="P26" s="110" t="s">
        <v>217</v>
      </c>
      <c r="Q26" s="18">
        <v>35</v>
      </c>
      <c r="R26" s="17">
        <v>0</v>
      </c>
      <c r="S26" s="18">
        <f t="shared" si="0"/>
        <v>0</v>
      </c>
    </row>
    <row r="27" spans="1:22" s="7" customFormat="1" ht="19.5" customHeight="1">
      <c r="A27" s="25"/>
      <c r="B27" s="71" t="s">
        <v>337</v>
      </c>
      <c r="C27" s="95">
        <v>75</v>
      </c>
      <c r="D27" s="95">
        <v>85</v>
      </c>
      <c r="E27" s="25"/>
      <c r="F27" s="25"/>
      <c r="G27" s="94"/>
      <c r="H27" s="94"/>
      <c r="I27" s="95"/>
      <c r="J27" s="25"/>
      <c r="K27" s="25"/>
      <c r="L27" s="25"/>
      <c r="M27" s="25"/>
      <c r="N27" s="25"/>
      <c r="P27" s="110" t="s">
        <v>218</v>
      </c>
      <c r="Q27" s="18">
        <v>40</v>
      </c>
      <c r="R27" s="17">
        <v>0</v>
      </c>
      <c r="S27" s="18">
        <f t="shared" si="0"/>
        <v>0</v>
      </c>
    </row>
    <row r="28" spans="1:22" s="7" customFormat="1" ht="19.5" customHeight="1" thickBot="1">
      <c r="A28" s="25"/>
      <c r="B28" s="68" t="s">
        <v>338</v>
      </c>
      <c r="C28" s="137">
        <v>90</v>
      </c>
      <c r="D28" s="137">
        <v>100</v>
      </c>
      <c r="E28" s="25"/>
      <c r="F28" s="25"/>
      <c r="G28" s="94"/>
      <c r="H28" s="94"/>
      <c r="I28" s="95"/>
      <c r="J28" s="25"/>
      <c r="K28" s="25"/>
      <c r="L28" s="25"/>
      <c r="M28" s="25"/>
      <c r="N28" s="25"/>
      <c r="P28" s="110" t="s">
        <v>64</v>
      </c>
      <c r="Q28" s="18">
        <v>0</v>
      </c>
      <c r="R28" s="17">
        <v>0</v>
      </c>
      <c r="S28" s="18">
        <f>Q28*R28</f>
        <v>0</v>
      </c>
      <c r="V28" s="25"/>
    </row>
    <row r="29" spans="1:22" ht="19.5" customHeight="1">
      <c r="G29" s="21"/>
      <c r="H29" s="21"/>
      <c r="I29" s="21"/>
      <c r="O29" s="7"/>
      <c r="P29" s="110" t="s">
        <v>65</v>
      </c>
      <c r="Q29" s="18">
        <v>25</v>
      </c>
      <c r="R29" s="17">
        <v>0</v>
      </c>
      <c r="S29" s="18">
        <f t="shared" ref="S29:S30" si="9">Q29*R29</f>
        <v>0</v>
      </c>
      <c r="T29" s="7"/>
      <c r="U29" s="7"/>
    </row>
    <row r="30" spans="1:22" ht="19.5" customHeight="1">
      <c r="G30" s="94"/>
      <c r="H30" s="94"/>
      <c r="I30" s="95"/>
      <c r="P30" s="110" t="s">
        <v>67</v>
      </c>
      <c r="Q30" s="18">
        <v>15</v>
      </c>
      <c r="R30" s="17">
        <v>0</v>
      </c>
      <c r="S30" s="18">
        <f t="shared" si="9"/>
        <v>0</v>
      </c>
      <c r="T30" s="7"/>
      <c r="U30" s="7"/>
    </row>
    <row r="31" spans="1:22" ht="14.65" thickBot="1">
      <c r="G31" s="94"/>
      <c r="H31" s="94"/>
      <c r="I31" s="95"/>
      <c r="P31" s="111" t="s">
        <v>68</v>
      </c>
      <c r="Q31" s="22"/>
      <c r="R31" s="22"/>
      <c r="S31" s="22"/>
      <c r="T31" s="7"/>
      <c r="U31" s="7"/>
    </row>
    <row r="32" spans="1:22" ht="19.350000000000001" customHeight="1" thickTop="1">
      <c r="G32" s="94"/>
      <c r="H32" s="94"/>
      <c r="I32" s="95"/>
      <c r="P32" s="23"/>
      <c r="Q32" s="20" t="s">
        <v>69</v>
      </c>
      <c r="R32" s="206">
        <f>SUM(S10:S30)</f>
        <v>0</v>
      </c>
      <c r="S32" s="206"/>
      <c r="U32" s="7"/>
    </row>
    <row r="33" spans="7:21" ht="19.350000000000001" customHeight="1">
      <c r="G33" s="94"/>
      <c r="H33" s="94"/>
      <c r="I33" s="95"/>
      <c r="P33" s="7"/>
      <c r="Q33" s="7"/>
      <c r="R33" s="7"/>
      <c r="S33" s="7"/>
      <c r="U33" s="7"/>
    </row>
    <row r="34" spans="7:21" ht="19.350000000000001" customHeight="1">
      <c r="G34" s="94"/>
      <c r="H34" s="94"/>
      <c r="I34" s="95"/>
      <c r="P34" s="7"/>
      <c r="Q34" s="7"/>
      <c r="R34" s="7"/>
      <c r="S34" s="7"/>
      <c r="T34" s="7"/>
    </row>
    <row r="35" spans="7:21" ht="19.350000000000001" customHeight="1">
      <c r="P35" s="7"/>
      <c r="Q35" s="7"/>
      <c r="R35" s="7"/>
      <c r="S35" s="7"/>
      <c r="T35" s="7"/>
    </row>
    <row r="36" spans="7:21" ht="19.350000000000001" customHeight="1">
      <c r="P36" s="7"/>
      <c r="Q36" s="7"/>
      <c r="R36" s="7"/>
      <c r="S36" s="7"/>
      <c r="T36" s="7"/>
    </row>
    <row r="37" spans="7:21">
      <c r="T37" s="7"/>
    </row>
    <row r="39" spans="7:21" ht="23.25">
      <c r="P39" s="23"/>
      <c r="Q39" s="20"/>
      <c r="R39" s="24"/>
      <c r="S39" s="24"/>
    </row>
    <row r="40" spans="7:21" ht="23.25">
      <c r="P40" s="23"/>
      <c r="Q40" s="20"/>
      <c r="R40" s="24"/>
      <c r="S40" s="24"/>
    </row>
    <row r="41" spans="7:21">
      <c r="P41" s="7"/>
      <c r="Q41" s="7"/>
      <c r="R41" s="7"/>
      <c r="S41" s="7"/>
    </row>
    <row r="42" spans="7:21">
      <c r="P42" s="7"/>
      <c r="Q42" s="7"/>
      <c r="R42" s="7"/>
      <c r="S42" s="7"/>
    </row>
  </sheetData>
  <sheetProtection algorithmName="SHA-512" hashValue="3rV83bkqBbqn4WBwsvJhRJZ4slhqI6Ch64H/WLH6wnyTml1wjmblnrdKPghwZKwPHU4AIgKJeoK/ZnxFzFsWMA==" saltValue="Kq+8MRb28MYnSmJtT41XrA==" spinCount="100000" sheet="1" objects="1" scenarios="1"/>
  <mergeCells count="15">
    <mergeCell ref="B18:D19"/>
    <mergeCell ref="B20:D21"/>
    <mergeCell ref="R32:S32"/>
    <mergeCell ref="E10:F10"/>
    <mergeCell ref="E11:F11"/>
    <mergeCell ref="E12:F12"/>
    <mergeCell ref="E13:F13"/>
    <mergeCell ref="E14:F14"/>
    <mergeCell ref="B15:N16"/>
    <mergeCell ref="B2:N3"/>
    <mergeCell ref="T3:T5"/>
    <mergeCell ref="B4:N6"/>
    <mergeCell ref="E7:F7"/>
    <mergeCell ref="E8:F8"/>
    <mergeCell ref="G8:N8"/>
  </mergeCells>
  <pageMargins left="0.25" right="0.25" top="0.75" bottom="0.75" header="0.3" footer="0.3"/>
  <pageSetup paperSize="9"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36E1E-9DFD-46A5-A65F-98B7046E0167}">
  <dimension ref="A2:S60"/>
  <sheetViews>
    <sheetView showGridLines="0" workbookViewId="0"/>
  </sheetViews>
  <sheetFormatPr defaultColWidth="8.86328125" defaultRowHeight="14.25"/>
  <cols>
    <col min="1" max="1" width="3.86328125" style="42" customWidth="1"/>
    <col min="2" max="2" width="20.59765625" style="42" customWidth="1"/>
    <col min="3" max="12" width="11.73046875" style="42" customWidth="1"/>
    <col min="13" max="13" width="3.86328125" style="25" customWidth="1"/>
    <col min="14" max="14" width="16.86328125" style="25" bestFit="1" customWidth="1"/>
    <col min="15" max="15" width="8.86328125" style="25"/>
    <col min="16" max="16" width="10.265625" style="25" customWidth="1"/>
    <col min="17" max="19" width="8.86328125" style="25"/>
    <col min="20" max="16384" width="8.86328125" style="42"/>
  </cols>
  <sheetData>
    <row r="2" spans="1:19" ht="34.5" customHeight="1" thickBot="1">
      <c r="B2" s="196" t="s">
        <v>259</v>
      </c>
      <c r="C2" s="196"/>
      <c r="D2" s="196"/>
      <c r="E2" s="196"/>
      <c r="F2" s="196"/>
      <c r="G2" s="196"/>
      <c r="H2" s="196"/>
      <c r="I2" s="196"/>
      <c r="J2" s="196"/>
      <c r="K2" s="196"/>
      <c r="L2" s="196"/>
      <c r="M2" s="7"/>
      <c r="N2" s="103" t="s">
        <v>209</v>
      </c>
      <c r="O2" s="32"/>
      <c r="P2" s="11"/>
      <c r="Q2" s="11"/>
      <c r="R2" s="7"/>
      <c r="S2" s="7"/>
    </row>
    <row r="3" spans="1:19" customFormat="1" ht="19.5" customHeight="1">
      <c r="B3" s="196"/>
      <c r="C3" s="196"/>
      <c r="D3" s="196"/>
      <c r="E3" s="196"/>
      <c r="F3" s="196"/>
      <c r="G3" s="196"/>
      <c r="H3" s="196"/>
      <c r="I3" s="196"/>
      <c r="J3" s="196"/>
      <c r="K3" s="196"/>
      <c r="L3" s="196"/>
      <c r="M3" s="7"/>
      <c r="N3" s="105" t="s">
        <v>26</v>
      </c>
      <c r="O3" s="35"/>
      <c r="P3" s="27">
        <v>1</v>
      </c>
      <c r="Q3" s="16" t="s">
        <v>27</v>
      </c>
      <c r="R3" s="198" t="s">
        <v>96</v>
      </c>
      <c r="S3" s="7"/>
    </row>
    <row r="4" spans="1:19" s="7" customFormat="1" ht="19.5" customHeight="1">
      <c r="B4" s="197" t="s">
        <v>262</v>
      </c>
      <c r="C4" s="197"/>
      <c r="D4" s="197"/>
      <c r="E4" s="197"/>
      <c r="F4" s="197"/>
      <c r="G4" s="197"/>
      <c r="H4" s="197"/>
      <c r="I4" s="197"/>
      <c r="J4" s="197"/>
      <c r="K4" s="197"/>
      <c r="L4" s="197"/>
      <c r="M4" s="9"/>
      <c r="N4" s="13"/>
      <c r="R4" s="198"/>
      <c r="S4" s="9"/>
    </row>
    <row r="5" spans="1:19" s="7" customFormat="1" ht="19.5" customHeight="1">
      <c r="B5" s="197"/>
      <c r="C5" s="197"/>
      <c r="D5" s="197"/>
      <c r="E5" s="197"/>
      <c r="F5" s="197"/>
      <c r="G5" s="197"/>
      <c r="H5" s="197"/>
      <c r="I5" s="197"/>
      <c r="J5" s="197"/>
      <c r="K5" s="197"/>
      <c r="L5" s="197"/>
      <c r="R5" s="49"/>
    </row>
    <row r="6" spans="1:19" s="7" customFormat="1" ht="19.5" customHeight="1">
      <c r="B6" s="197"/>
      <c r="C6" s="197"/>
      <c r="D6" s="197"/>
      <c r="E6" s="197"/>
      <c r="F6" s="197"/>
      <c r="G6" s="197"/>
      <c r="H6" s="197"/>
      <c r="I6" s="197"/>
      <c r="J6" s="197"/>
      <c r="K6" s="197"/>
      <c r="L6" s="197"/>
      <c r="N6" s="9"/>
      <c r="O6" s="9"/>
      <c r="P6" s="9"/>
      <c r="Q6" s="9"/>
      <c r="R6" s="49"/>
    </row>
    <row r="7" spans="1:19" s="7" customFormat="1" ht="19.5" customHeight="1">
      <c r="B7" s="37"/>
      <c r="C7" s="37"/>
      <c r="D7" s="37"/>
      <c r="E7" s="37"/>
      <c r="F7" s="37"/>
      <c r="G7" s="37"/>
      <c r="H7" s="37"/>
      <c r="I7" s="37"/>
      <c r="J7" s="37"/>
      <c r="K7" s="37"/>
      <c r="L7" s="37"/>
      <c r="Q7" s="29"/>
    </row>
    <row r="8" spans="1:19" s="7" customFormat="1" ht="19.5" customHeight="1">
      <c r="B8" s="253" t="s">
        <v>263</v>
      </c>
      <c r="C8" s="253"/>
      <c r="D8" s="253"/>
      <c r="E8" s="253"/>
      <c r="F8" s="253"/>
      <c r="G8" s="253"/>
      <c r="H8" s="253"/>
      <c r="I8" s="253"/>
      <c r="J8" s="253"/>
      <c r="K8" s="253"/>
      <c r="L8" s="253"/>
      <c r="Q8" s="29"/>
    </row>
    <row r="9" spans="1:19" s="7" customFormat="1" ht="19.5" customHeight="1">
      <c r="B9" s="132"/>
      <c r="C9" s="251" t="s">
        <v>368</v>
      </c>
      <c r="D9" s="251"/>
      <c r="E9" s="251"/>
      <c r="F9" s="251"/>
      <c r="G9" s="251"/>
      <c r="H9" s="252" t="s">
        <v>369</v>
      </c>
      <c r="I9" s="252"/>
      <c r="J9" s="252"/>
      <c r="K9" s="252"/>
      <c r="L9" s="252"/>
      <c r="Q9" s="29"/>
    </row>
    <row r="10" spans="1:19" s="38" customFormat="1" ht="45" customHeight="1" thickBot="1">
      <c r="B10" s="10" t="s">
        <v>108</v>
      </c>
      <c r="C10" s="147" t="s">
        <v>264</v>
      </c>
      <c r="D10" s="147" t="s">
        <v>265</v>
      </c>
      <c r="E10" s="147" t="s">
        <v>266</v>
      </c>
      <c r="F10" s="147" t="s">
        <v>267</v>
      </c>
      <c r="G10" s="147" t="s">
        <v>289</v>
      </c>
      <c r="H10" s="39" t="s">
        <v>264</v>
      </c>
      <c r="I10" s="39" t="s">
        <v>265</v>
      </c>
      <c r="J10" s="39" t="s">
        <v>266</v>
      </c>
      <c r="K10" s="39" t="s">
        <v>267</v>
      </c>
      <c r="L10" s="39" t="s">
        <v>289</v>
      </c>
      <c r="M10" s="7"/>
      <c r="N10" s="7"/>
      <c r="O10" s="7"/>
      <c r="P10" s="7"/>
      <c r="Q10" s="7"/>
      <c r="R10" s="29"/>
      <c r="S10" s="7"/>
    </row>
    <row r="11" spans="1:19" ht="19.5" customHeight="1">
      <c r="A11" s="40"/>
      <c r="B11" s="41" t="s">
        <v>102</v>
      </c>
      <c r="C11" s="82">
        <f>50*$P$3</f>
        <v>50</v>
      </c>
      <c r="D11" s="83">
        <f>55*$P$3</f>
        <v>55</v>
      </c>
      <c r="E11" s="84">
        <f>60*$P$3</f>
        <v>60</v>
      </c>
      <c r="F11" s="84" t="s">
        <v>50</v>
      </c>
      <c r="G11" s="84" t="s">
        <v>50</v>
      </c>
      <c r="H11" s="82">
        <f>55*$P$3</f>
        <v>55</v>
      </c>
      <c r="I11" s="82">
        <f>60*$P$3</f>
        <v>60</v>
      </c>
      <c r="J11" s="82">
        <f>65*$P$3</f>
        <v>65</v>
      </c>
      <c r="K11" s="84" t="s">
        <v>50</v>
      </c>
      <c r="L11" s="84" t="s">
        <v>50</v>
      </c>
      <c r="M11" s="7"/>
      <c r="N11" s="7"/>
      <c r="O11" s="7"/>
      <c r="P11" s="7"/>
      <c r="Q11" s="7"/>
      <c r="R11" s="7"/>
      <c r="S11" s="29"/>
    </row>
    <row r="12" spans="1:19" ht="19.5" customHeight="1">
      <c r="A12" s="40"/>
      <c r="B12" s="41" t="s">
        <v>106</v>
      </c>
      <c r="C12" s="82">
        <f>65*$P$3</f>
        <v>65</v>
      </c>
      <c r="D12" s="83">
        <f>70*$P$3</f>
        <v>70</v>
      </c>
      <c r="E12" s="84">
        <f>75*$P$3</f>
        <v>75</v>
      </c>
      <c r="F12" s="84">
        <f>75*$P$3</f>
        <v>75</v>
      </c>
      <c r="G12" s="84" t="s">
        <v>50</v>
      </c>
      <c r="H12" s="82">
        <f>75*$P$3</f>
        <v>75</v>
      </c>
      <c r="I12" s="82">
        <f>80*$P$3</f>
        <v>80</v>
      </c>
      <c r="J12" s="82">
        <f>85*$P$3</f>
        <v>85</v>
      </c>
      <c r="K12" s="82">
        <f>85*$P$3</f>
        <v>85</v>
      </c>
      <c r="L12" s="84" t="s">
        <v>50</v>
      </c>
      <c r="M12" s="7"/>
      <c r="N12" s="7"/>
      <c r="O12" s="7"/>
      <c r="P12" s="7"/>
      <c r="Q12" s="7"/>
      <c r="R12" s="7"/>
      <c r="S12" s="7"/>
    </row>
    <row r="13" spans="1:19" ht="19.5" customHeight="1">
      <c r="A13" s="40"/>
      <c r="B13" s="41" t="s">
        <v>107</v>
      </c>
      <c r="C13" s="82">
        <f>70*$P$3</f>
        <v>70</v>
      </c>
      <c r="D13" s="83">
        <f>75*$P$3</f>
        <v>75</v>
      </c>
      <c r="E13" s="84">
        <f>80*$P$3</f>
        <v>80</v>
      </c>
      <c r="F13" s="84">
        <f>80*$P$3</f>
        <v>80</v>
      </c>
      <c r="G13" s="84" t="s">
        <v>50</v>
      </c>
      <c r="H13" s="82">
        <f>80*$P$3</f>
        <v>80</v>
      </c>
      <c r="I13" s="82">
        <f>85*$P$3</f>
        <v>85</v>
      </c>
      <c r="J13" s="82">
        <f>90*$P$3</f>
        <v>90</v>
      </c>
      <c r="K13" s="82">
        <f>90*$P$3</f>
        <v>90</v>
      </c>
      <c r="L13" s="84" t="s">
        <v>50</v>
      </c>
      <c r="M13" s="7"/>
      <c r="N13" s="7"/>
      <c r="O13" s="7"/>
      <c r="P13" s="7"/>
      <c r="Q13" s="7"/>
      <c r="R13" s="7"/>
      <c r="S13" s="7"/>
    </row>
    <row r="14" spans="1:19" ht="19.5" customHeight="1">
      <c r="A14" s="40"/>
      <c r="B14" s="41" t="s">
        <v>173</v>
      </c>
      <c r="C14" s="82">
        <f>70*$P$3</f>
        <v>70</v>
      </c>
      <c r="D14" s="83">
        <f>75*$P$3</f>
        <v>75</v>
      </c>
      <c r="E14" s="84">
        <f>80*$P$3</f>
        <v>80</v>
      </c>
      <c r="F14" s="84">
        <f>80*$P$3</f>
        <v>80</v>
      </c>
      <c r="G14" s="84" t="s">
        <v>50</v>
      </c>
      <c r="H14" s="82">
        <f>80*$P$3</f>
        <v>80</v>
      </c>
      <c r="I14" s="82">
        <f>85*$P$3</f>
        <v>85</v>
      </c>
      <c r="J14" s="82">
        <f>90*$P$3</f>
        <v>90</v>
      </c>
      <c r="K14" s="82">
        <f>90*$P$3</f>
        <v>90</v>
      </c>
      <c r="L14" s="84" t="s">
        <v>50</v>
      </c>
      <c r="M14" s="29"/>
      <c r="N14" s="7"/>
      <c r="O14" s="7"/>
      <c r="P14" s="7"/>
      <c r="Q14" s="7"/>
      <c r="R14" s="7"/>
      <c r="S14" s="7"/>
    </row>
    <row r="15" spans="1:19" ht="19.5" customHeight="1">
      <c r="A15" s="40"/>
      <c r="B15" s="41" t="s">
        <v>131</v>
      </c>
      <c r="C15" s="82">
        <f>85*$P$3</f>
        <v>85</v>
      </c>
      <c r="D15" s="83">
        <f>90*$P$3</f>
        <v>90</v>
      </c>
      <c r="E15" s="84">
        <f>95*$P$3</f>
        <v>95</v>
      </c>
      <c r="F15" s="84">
        <f>95*$P$3</f>
        <v>95</v>
      </c>
      <c r="G15" s="84" t="s">
        <v>50</v>
      </c>
      <c r="H15" s="82">
        <f>95*$P$3</f>
        <v>95</v>
      </c>
      <c r="I15" s="82">
        <f>100*$P$3</f>
        <v>100</v>
      </c>
      <c r="J15" s="82">
        <f>105*$P$3</f>
        <v>105</v>
      </c>
      <c r="K15" s="82">
        <f>105*$P$3</f>
        <v>105</v>
      </c>
      <c r="L15" s="84" t="s">
        <v>50</v>
      </c>
      <c r="M15" s="7"/>
      <c r="N15" s="7"/>
      <c r="O15" s="7"/>
      <c r="P15" s="7"/>
      <c r="Q15" s="7"/>
      <c r="R15" s="7"/>
      <c r="S15" s="7"/>
    </row>
    <row r="16" spans="1:19" ht="19.5" customHeight="1">
      <c r="A16" s="40"/>
      <c r="B16" s="41" t="s">
        <v>288</v>
      </c>
      <c r="C16" s="82" t="s">
        <v>50</v>
      </c>
      <c r="D16" s="83" t="s">
        <v>50</v>
      </c>
      <c r="E16" s="84" t="s">
        <v>50</v>
      </c>
      <c r="F16" s="84" t="s">
        <v>50</v>
      </c>
      <c r="G16" s="84">
        <f>$P$3*100</f>
        <v>100</v>
      </c>
      <c r="H16" s="82" t="s">
        <v>50</v>
      </c>
      <c r="I16" s="83" t="s">
        <v>50</v>
      </c>
      <c r="J16" s="84" t="s">
        <v>50</v>
      </c>
      <c r="K16" s="84" t="s">
        <v>50</v>
      </c>
      <c r="L16" s="84">
        <f>$P$3*115</f>
        <v>115</v>
      </c>
      <c r="M16" s="7"/>
      <c r="N16" s="7"/>
      <c r="O16" s="7"/>
      <c r="P16" s="7"/>
      <c r="Q16" s="7"/>
      <c r="R16" s="7"/>
      <c r="S16" s="7"/>
    </row>
    <row r="17" spans="1:19" ht="19.5" customHeight="1">
      <c r="A17" s="40"/>
      <c r="B17" s="41" t="s">
        <v>269</v>
      </c>
      <c r="C17" s="82">
        <f>90*$P$3</f>
        <v>90</v>
      </c>
      <c r="D17" s="83">
        <f>100*$P$3</f>
        <v>100</v>
      </c>
      <c r="E17" s="84">
        <f>110*$P$3</f>
        <v>110</v>
      </c>
      <c r="F17" s="84">
        <f>110*$P$3</f>
        <v>110</v>
      </c>
      <c r="G17" s="84" t="s">
        <v>50</v>
      </c>
      <c r="H17" s="82">
        <f>105*$P$3</f>
        <v>105</v>
      </c>
      <c r="I17" s="82">
        <f>115*$P$3</f>
        <v>115</v>
      </c>
      <c r="J17" s="82">
        <f>125*$P$3</f>
        <v>125</v>
      </c>
      <c r="K17" s="82">
        <f>125*$P$3</f>
        <v>125</v>
      </c>
      <c r="L17" s="84" t="s">
        <v>50</v>
      </c>
      <c r="M17" s="7"/>
      <c r="N17" s="7"/>
      <c r="O17" s="7"/>
      <c r="P17" s="7"/>
      <c r="Q17" s="7"/>
      <c r="R17" s="7"/>
      <c r="S17" s="7"/>
    </row>
    <row r="18" spans="1:19" ht="19.5" customHeight="1">
      <c r="A18" s="40"/>
      <c r="B18" s="41" t="s">
        <v>270</v>
      </c>
      <c r="C18" s="82">
        <f>100*$P$3</f>
        <v>100</v>
      </c>
      <c r="D18" s="83">
        <f>110*$P$3</f>
        <v>110</v>
      </c>
      <c r="E18" s="84">
        <f>120*$P$3</f>
        <v>120</v>
      </c>
      <c r="F18" s="84">
        <f>120*$P$3</f>
        <v>120</v>
      </c>
      <c r="G18" s="84" t="s">
        <v>50</v>
      </c>
      <c r="H18" s="82">
        <f>115*$P$3</f>
        <v>115</v>
      </c>
      <c r="I18" s="82">
        <f>125*$P$3</f>
        <v>125</v>
      </c>
      <c r="J18" s="82">
        <f>135*$P$3</f>
        <v>135</v>
      </c>
      <c r="K18" s="82">
        <f>135*$P$3</f>
        <v>135</v>
      </c>
      <c r="L18" s="84" t="s">
        <v>50</v>
      </c>
      <c r="M18" s="7"/>
      <c r="N18" s="7"/>
      <c r="O18" s="7"/>
      <c r="P18" s="7"/>
      <c r="Q18" s="7"/>
      <c r="R18" s="7"/>
      <c r="S18" s="7"/>
    </row>
    <row r="19" spans="1:19" ht="19.5" customHeight="1">
      <c r="A19" s="40"/>
      <c r="B19" s="41" t="s">
        <v>290</v>
      </c>
      <c r="C19" s="82" t="s">
        <v>50</v>
      </c>
      <c r="D19" s="83" t="s">
        <v>50</v>
      </c>
      <c r="E19" s="84" t="s">
        <v>50</v>
      </c>
      <c r="F19" s="84" t="s">
        <v>50</v>
      </c>
      <c r="G19" s="84">
        <f>$P$3*120</f>
        <v>120</v>
      </c>
      <c r="H19" s="82" t="s">
        <v>50</v>
      </c>
      <c r="I19" s="83" t="s">
        <v>50</v>
      </c>
      <c r="J19" s="84" t="s">
        <v>50</v>
      </c>
      <c r="K19" s="84" t="s">
        <v>50</v>
      </c>
      <c r="L19" s="84">
        <f>$P$3*140</f>
        <v>140</v>
      </c>
      <c r="M19" s="7"/>
      <c r="N19" s="7"/>
      <c r="O19" s="7"/>
      <c r="P19" s="7"/>
      <c r="Q19" s="7"/>
      <c r="R19" s="7"/>
      <c r="S19" s="7"/>
    </row>
    <row r="20" spans="1:19" ht="19.5" customHeight="1">
      <c r="A20" s="40"/>
      <c r="B20" s="41" t="s">
        <v>291</v>
      </c>
      <c r="C20" s="82" t="s">
        <v>50</v>
      </c>
      <c r="D20" s="83" t="s">
        <v>50</v>
      </c>
      <c r="E20" s="84" t="s">
        <v>50</v>
      </c>
      <c r="F20" s="84" t="s">
        <v>50</v>
      </c>
      <c r="G20" s="84">
        <f>$P$3*140</f>
        <v>140</v>
      </c>
      <c r="H20" s="82" t="s">
        <v>50</v>
      </c>
      <c r="I20" s="83" t="s">
        <v>50</v>
      </c>
      <c r="J20" s="84" t="s">
        <v>50</v>
      </c>
      <c r="K20" s="84" t="s">
        <v>50</v>
      </c>
      <c r="L20" s="84">
        <f>$P$3*160</f>
        <v>160</v>
      </c>
      <c r="M20" s="7"/>
      <c r="N20" s="7"/>
      <c r="O20" s="7"/>
      <c r="P20" s="7"/>
      <c r="Q20" s="7"/>
      <c r="R20" s="7"/>
      <c r="S20" s="7"/>
    </row>
    <row r="21" spans="1:19" ht="19.5" customHeight="1">
      <c r="A21" s="40"/>
      <c r="B21" s="41" t="s">
        <v>271</v>
      </c>
      <c r="C21" s="82">
        <f>125*$P$3</f>
        <v>125</v>
      </c>
      <c r="D21" s="83">
        <f>135*$P$3</f>
        <v>135</v>
      </c>
      <c r="E21" s="84">
        <f>140*$P$3</f>
        <v>140</v>
      </c>
      <c r="F21" s="84">
        <f>140*$P$3</f>
        <v>140</v>
      </c>
      <c r="G21" s="84" t="s">
        <v>50</v>
      </c>
      <c r="H21" s="82">
        <f>145*$P$3</f>
        <v>145</v>
      </c>
      <c r="I21" s="82">
        <f>155*$P$3</f>
        <v>155</v>
      </c>
      <c r="J21" s="82">
        <f>160*$P$3</f>
        <v>160</v>
      </c>
      <c r="K21" s="82">
        <f>160*$P$3</f>
        <v>160</v>
      </c>
      <c r="L21" s="84" t="s">
        <v>50</v>
      </c>
      <c r="M21" s="7"/>
      <c r="N21" s="7"/>
      <c r="O21" s="7"/>
      <c r="P21" s="7"/>
      <c r="Q21" s="7"/>
      <c r="R21" s="7"/>
      <c r="S21" s="7"/>
    </row>
    <row r="22" spans="1:19" ht="19.5" customHeight="1" thickBot="1">
      <c r="A22" s="40"/>
      <c r="B22" s="43" t="s">
        <v>272</v>
      </c>
      <c r="C22" s="82">
        <f>135*$P$3</f>
        <v>135</v>
      </c>
      <c r="D22" s="86">
        <f>145*$P$3</f>
        <v>145</v>
      </c>
      <c r="E22" s="87">
        <f>155*$P$3</f>
        <v>155</v>
      </c>
      <c r="F22" s="84">
        <f>155*$P$3</f>
        <v>155</v>
      </c>
      <c r="G22" s="84" t="s">
        <v>50</v>
      </c>
      <c r="H22" s="85">
        <f>160*$P$3</f>
        <v>160</v>
      </c>
      <c r="I22" s="86">
        <f>170*$P$3</f>
        <v>170</v>
      </c>
      <c r="J22" s="87">
        <f>180*$P$3</f>
        <v>180</v>
      </c>
      <c r="K22" s="87">
        <f>180*$P$3</f>
        <v>180</v>
      </c>
      <c r="L22" s="87" t="s">
        <v>50</v>
      </c>
      <c r="M22" s="7"/>
      <c r="N22" s="7"/>
      <c r="O22" s="7"/>
      <c r="P22" s="7"/>
      <c r="Q22" s="7"/>
      <c r="R22" s="7"/>
      <c r="S22" s="7"/>
    </row>
    <row r="23" spans="1:19" ht="19.5" customHeight="1">
      <c r="A23" s="40"/>
      <c r="B23" s="40"/>
      <c r="C23" s="148"/>
      <c r="D23" s="126"/>
      <c r="E23" s="126"/>
      <c r="F23" s="148"/>
      <c r="G23" s="148"/>
      <c r="H23" s="126"/>
      <c r="I23" s="126"/>
      <c r="J23" s="126"/>
      <c r="K23" s="126"/>
      <c r="L23" s="126"/>
      <c r="M23" s="7"/>
      <c r="N23" s="7"/>
      <c r="O23" s="7"/>
      <c r="P23" s="7"/>
      <c r="Q23" s="7"/>
      <c r="R23" s="7"/>
      <c r="S23" s="7"/>
    </row>
    <row r="24" spans="1:19" s="7" customFormat="1" ht="19.5" customHeight="1">
      <c r="B24" s="253" t="s">
        <v>268</v>
      </c>
      <c r="C24" s="253"/>
      <c r="D24" s="253"/>
      <c r="E24" s="253"/>
      <c r="F24" s="253"/>
      <c r="G24" s="253"/>
      <c r="H24" s="253"/>
      <c r="I24" s="253"/>
      <c r="J24" s="253"/>
      <c r="K24" s="253"/>
      <c r="L24" s="253"/>
      <c r="Q24" s="29"/>
    </row>
    <row r="25" spans="1:19" s="7" customFormat="1" ht="19.5" customHeight="1">
      <c r="B25" s="132"/>
      <c r="C25" s="251" t="s">
        <v>368</v>
      </c>
      <c r="D25" s="251"/>
      <c r="E25" s="251"/>
      <c r="F25" s="251"/>
      <c r="G25" s="251"/>
      <c r="H25" s="252" t="s">
        <v>369</v>
      </c>
      <c r="I25" s="252"/>
      <c r="J25" s="252"/>
      <c r="K25" s="252"/>
      <c r="L25" s="252"/>
      <c r="Q25" s="29"/>
    </row>
    <row r="26" spans="1:19" s="38" customFormat="1" ht="45" customHeight="1" thickBot="1">
      <c r="A26" s="44"/>
      <c r="B26" s="10" t="s">
        <v>108</v>
      </c>
      <c r="C26" s="147" t="s">
        <v>264</v>
      </c>
      <c r="D26" s="147" t="s">
        <v>265</v>
      </c>
      <c r="E26" s="147" t="s">
        <v>266</v>
      </c>
      <c r="F26" s="147" t="s">
        <v>267</v>
      </c>
      <c r="G26" s="147" t="s">
        <v>289</v>
      </c>
      <c r="H26" s="39" t="s">
        <v>264</v>
      </c>
      <c r="I26" s="39" t="s">
        <v>265</v>
      </c>
      <c r="J26" s="39" t="s">
        <v>266</v>
      </c>
      <c r="K26" s="39" t="s">
        <v>267</v>
      </c>
      <c r="L26" s="39" t="s">
        <v>289</v>
      </c>
      <c r="M26" s="7"/>
      <c r="N26" s="25"/>
      <c r="O26" s="25"/>
      <c r="P26" s="25"/>
      <c r="Q26" s="7"/>
      <c r="R26" s="7"/>
      <c r="S26" s="7"/>
    </row>
    <row r="27" spans="1:19" ht="19.5" customHeight="1">
      <c r="A27" s="40"/>
      <c r="B27" s="41" t="s">
        <v>102</v>
      </c>
      <c r="C27" s="100">
        <f>60*$P$3</f>
        <v>60</v>
      </c>
      <c r="D27" s="100">
        <f>65*$P$3</f>
        <v>65</v>
      </c>
      <c r="E27" s="84">
        <f>70*$P$3</f>
        <v>70</v>
      </c>
      <c r="F27" s="84" t="s">
        <v>50</v>
      </c>
      <c r="G27" s="84" t="s">
        <v>50</v>
      </c>
      <c r="H27" s="82">
        <f>65*$P$3</f>
        <v>65</v>
      </c>
      <c r="I27" s="82">
        <f>70*$P$3</f>
        <v>70</v>
      </c>
      <c r="J27" s="82">
        <f>75*$P$3</f>
        <v>75</v>
      </c>
      <c r="K27" s="84" t="s">
        <v>50</v>
      </c>
      <c r="L27" s="84" t="s">
        <v>50</v>
      </c>
      <c r="M27" s="7"/>
      <c r="Q27" s="7"/>
      <c r="R27" s="7"/>
      <c r="S27" s="7"/>
    </row>
    <row r="28" spans="1:19" ht="19.5" customHeight="1">
      <c r="A28" s="40"/>
      <c r="B28" s="41" t="s">
        <v>106</v>
      </c>
      <c r="C28" s="100">
        <f>75*$P$3</f>
        <v>75</v>
      </c>
      <c r="D28" s="100">
        <f>80*$P$3</f>
        <v>80</v>
      </c>
      <c r="E28" s="84">
        <f>85*$P$3</f>
        <v>85</v>
      </c>
      <c r="F28" s="84">
        <f>85*$P$3</f>
        <v>85</v>
      </c>
      <c r="G28" s="84" t="s">
        <v>50</v>
      </c>
      <c r="H28" s="82">
        <f>85*$P$3</f>
        <v>85</v>
      </c>
      <c r="I28" s="82">
        <f>90*$P$3</f>
        <v>90</v>
      </c>
      <c r="J28" s="82">
        <f>95*$P$3</f>
        <v>95</v>
      </c>
      <c r="K28" s="82">
        <f>95*$P$3</f>
        <v>95</v>
      </c>
      <c r="L28" s="84" t="s">
        <v>50</v>
      </c>
      <c r="M28" s="7"/>
      <c r="R28" s="7"/>
      <c r="S28" s="7"/>
    </row>
    <row r="29" spans="1:19" ht="19.5" customHeight="1">
      <c r="A29" s="40"/>
      <c r="B29" s="41" t="s">
        <v>107</v>
      </c>
      <c r="C29" s="100">
        <f>85*$P$3</f>
        <v>85</v>
      </c>
      <c r="D29" s="100">
        <f>90*$P$3</f>
        <v>90</v>
      </c>
      <c r="E29" s="84">
        <f>95*$P$3</f>
        <v>95</v>
      </c>
      <c r="F29" s="84" t="s">
        <v>50</v>
      </c>
      <c r="G29" s="84" t="s">
        <v>50</v>
      </c>
      <c r="H29" s="82">
        <f>95*$P$3</f>
        <v>95</v>
      </c>
      <c r="I29" s="82">
        <f>100*$P$3</f>
        <v>100</v>
      </c>
      <c r="J29" s="82">
        <f>105*$P$3</f>
        <v>105</v>
      </c>
      <c r="K29" s="84" t="s">
        <v>50</v>
      </c>
      <c r="L29" s="84" t="s">
        <v>50</v>
      </c>
      <c r="M29" s="7"/>
      <c r="S29" s="7"/>
    </row>
    <row r="30" spans="1:19" ht="19.5" customHeight="1">
      <c r="A30" s="40"/>
      <c r="B30" s="41" t="s">
        <v>173</v>
      </c>
      <c r="C30" s="100">
        <f>85*$P$3</f>
        <v>85</v>
      </c>
      <c r="D30" s="100">
        <f>90*$P$3</f>
        <v>90</v>
      </c>
      <c r="E30" s="84">
        <f>95*$P$3</f>
        <v>95</v>
      </c>
      <c r="F30" s="84">
        <f>95*$P$3</f>
        <v>95</v>
      </c>
      <c r="G30" s="84" t="s">
        <v>50</v>
      </c>
      <c r="H30" s="82">
        <f>95*$P$3</f>
        <v>95</v>
      </c>
      <c r="I30" s="82">
        <f>100*$P$3</f>
        <v>100</v>
      </c>
      <c r="J30" s="82">
        <f>105*$P$3</f>
        <v>105</v>
      </c>
      <c r="K30" s="82">
        <f>105*$P$3</f>
        <v>105</v>
      </c>
      <c r="L30" s="84" t="s">
        <v>50</v>
      </c>
      <c r="M30" s="7"/>
    </row>
    <row r="31" spans="1:19" ht="19.5" customHeight="1">
      <c r="A31" s="40"/>
      <c r="B31" s="41" t="s">
        <v>131</v>
      </c>
      <c r="C31" s="100">
        <f>100*$P$3</f>
        <v>100</v>
      </c>
      <c r="D31" s="100">
        <f>105*$P$3</f>
        <v>105</v>
      </c>
      <c r="E31" s="84">
        <f>110*$P$3</f>
        <v>110</v>
      </c>
      <c r="F31" s="84">
        <f>110*$P$3</f>
        <v>110</v>
      </c>
      <c r="G31" s="84" t="s">
        <v>50</v>
      </c>
      <c r="H31" s="82">
        <f>110*$P$3</f>
        <v>110</v>
      </c>
      <c r="I31" s="82">
        <f>115*$P$3</f>
        <v>115</v>
      </c>
      <c r="J31" s="82">
        <f>120*$P$3</f>
        <v>120</v>
      </c>
      <c r="K31" s="82">
        <f>125*$P$3</f>
        <v>125</v>
      </c>
      <c r="L31" s="84" t="s">
        <v>50</v>
      </c>
      <c r="M31" s="7"/>
    </row>
    <row r="32" spans="1:19" ht="19.5" customHeight="1">
      <c r="A32" s="40"/>
      <c r="B32" s="41" t="s">
        <v>288</v>
      </c>
      <c r="C32" s="82" t="s">
        <v>50</v>
      </c>
      <c r="D32" s="83" t="s">
        <v>50</v>
      </c>
      <c r="E32" s="84" t="s">
        <v>50</v>
      </c>
      <c r="F32" s="84" t="s">
        <v>50</v>
      </c>
      <c r="G32" s="84">
        <f>$P$3*115</f>
        <v>115</v>
      </c>
      <c r="H32" s="82" t="s">
        <v>50</v>
      </c>
      <c r="I32" s="83" t="s">
        <v>50</v>
      </c>
      <c r="J32" s="84" t="s">
        <v>50</v>
      </c>
      <c r="K32" s="84" t="s">
        <v>50</v>
      </c>
      <c r="L32" s="84">
        <f>$P$3*130</f>
        <v>130</v>
      </c>
      <c r="M32" s="7"/>
      <c r="N32" s="7"/>
      <c r="O32" s="7"/>
      <c r="P32" s="7"/>
      <c r="Q32" s="7"/>
      <c r="R32" s="7"/>
      <c r="S32" s="7"/>
    </row>
    <row r="33" spans="1:19" ht="19.5" customHeight="1">
      <c r="A33" s="40"/>
      <c r="B33" s="41" t="s">
        <v>269</v>
      </c>
      <c r="C33" s="100">
        <f>110*$P$3</f>
        <v>110</v>
      </c>
      <c r="D33" s="100">
        <v>120</v>
      </c>
      <c r="E33" s="84">
        <f>130*$P$3</f>
        <v>130</v>
      </c>
      <c r="F33" s="84">
        <f>130*$P$3</f>
        <v>130</v>
      </c>
      <c r="G33" s="84" t="s">
        <v>50</v>
      </c>
      <c r="H33" s="82">
        <f>125*$P$3</f>
        <v>125</v>
      </c>
      <c r="I33" s="82">
        <f>135*$P$3</f>
        <v>135</v>
      </c>
      <c r="J33" s="82">
        <f>145*$P$3</f>
        <v>145</v>
      </c>
      <c r="K33" s="82">
        <f>145*$P$3</f>
        <v>145</v>
      </c>
      <c r="L33" s="84" t="s">
        <v>50</v>
      </c>
      <c r="M33" s="7"/>
    </row>
    <row r="34" spans="1:19" ht="19.5" customHeight="1">
      <c r="A34" s="40"/>
      <c r="B34" s="41" t="s">
        <v>270</v>
      </c>
      <c r="C34" s="100">
        <f>120*$P$3</f>
        <v>120</v>
      </c>
      <c r="D34" s="100">
        <f>130*$P$3</f>
        <v>130</v>
      </c>
      <c r="E34" s="84">
        <f>140*$P$3</f>
        <v>140</v>
      </c>
      <c r="F34" s="84">
        <f>140*$P$3</f>
        <v>140</v>
      </c>
      <c r="G34" s="84" t="s">
        <v>50</v>
      </c>
      <c r="H34" s="82">
        <f>135*$P$3</f>
        <v>135</v>
      </c>
      <c r="I34" s="82">
        <f>145*$P$3</f>
        <v>145</v>
      </c>
      <c r="J34" s="82">
        <f>155*$P$3</f>
        <v>155</v>
      </c>
      <c r="K34" s="82">
        <f>155*$P$3</f>
        <v>155</v>
      </c>
      <c r="L34" s="84" t="s">
        <v>50</v>
      </c>
      <c r="M34" s="7"/>
    </row>
    <row r="35" spans="1:19" ht="19.5" customHeight="1">
      <c r="A35" s="40"/>
      <c r="B35" s="41" t="s">
        <v>290</v>
      </c>
      <c r="C35" s="82" t="s">
        <v>50</v>
      </c>
      <c r="D35" s="83" t="s">
        <v>50</v>
      </c>
      <c r="E35" s="84" t="s">
        <v>50</v>
      </c>
      <c r="F35" s="84" t="s">
        <v>50</v>
      </c>
      <c r="G35" s="84">
        <f>$P$3*140</f>
        <v>140</v>
      </c>
      <c r="H35" s="82" t="s">
        <v>50</v>
      </c>
      <c r="I35" s="83" t="s">
        <v>50</v>
      </c>
      <c r="J35" s="84" t="s">
        <v>50</v>
      </c>
      <c r="K35" s="84" t="s">
        <v>50</v>
      </c>
      <c r="L35" s="84">
        <f>$P$3*160</f>
        <v>160</v>
      </c>
      <c r="M35" s="7"/>
      <c r="N35" s="7"/>
      <c r="O35" s="7"/>
      <c r="P35" s="7"/>
      <c r="Q35" s="7"/>
      <c r="R35" s="7"/>
      <c r="S35" s="7"/>
    </row>
    <row r="36" spans="1:19" ht="19.5" customHeight="1">
      <c r="A36" s="40"/>
      <c r="B36" s="41" t="s">
        <v>291</v>
      </c>
      <c r="C36" s="82" t="s">
        <v>50</v>
      </c>
      <c r="D36" s="83" t="s">
        <v>50</v>
      </c>
      <c r="E36" s="84" t="s">
        <v>50</v>
      </c>
      <c r="F36" s="84" t="s">
        <v>50</v>
      </c>
      <c r="G36" s="84">
        <f>$P$3*165</f>
        <v>165</v>
      </c>
      <c r="H36" s="82" t="s">
        <v>50</v>
      </c>
      <c r="I36" s="83" t="s">
        <v>50</v>
      </c>
      <c r="J36" s="84" t="s">
        <v>50</v>
      </c>
      <c r="K36" s="84" t="s">
        <v>50</v>
      </c>
      <c r="L36" s="84">
        <f>$P$3*185</f>
        <v>185</v>
      </c>
      <c r="M36" s="7"/>
      <c r="N36" s="7"/>
      <c r="O36" s="7"/>
      <c r="P36" s="7"/>
      <c r="Q36" s="7"/>
      <c r="R36" s="7"/>
      <c r="S36" s="7"/>
    </row>
    <row r="37" spans="1:19" ht="19.5" customHeight="1">
      <c r="A37" s="40"/>
      <c r="B37" s="41" t="s">
        <v>271</v>
      </c>
      <c r="C37" s="100">
        <f>150*$P$3</f>
        <v>150</v>
      </c>
      <c r="D37" s="100">
        <f>160*$P$3</f>
        <v>160</v>
      </c>
      <c r="E37" s="84">
        <f>165*$P$3</f>
        <v>165</v>
      </c>
      <c r="F37" s="84">
        <f>165*$P$3</f>
        <v>165</v>
      </c>
      <c r="G37" s="84" t="s">
        <v>50</v>
      </c>
      <c r="H37" s="82">
        <f>170*$P$3</f>
        <v>170</v>
      </c>
      <c r="I37" s="82">
        <f>180*$P$3</f>
        <v>180</v>
      </c>
      <c r="J37" s="82">
        <f>185*$P$3</f>
        <v>185</v>
      </c>
      <c r="K37" s="82">
        <f>185*$P$3</f>
        <v>185</v>
      </c>
      <c r="L37" s="84" t="s">
        <v>50</v>
      </c>
      <c r="M37" s="7"/>
    </row>
    <row r="38" spans="1:19" ht="19.5" customHeight="1" thickBot="1">
      <c r="A38" s="40"/>
      <c r="B38" s="43" t="s">
        <v>272</v>
      </c>
      <c r="C38" s="101">
        <f>165*$P$3</f>
        <v>165</v>
      </c>
      <c r="D38" s="101">
        <f>175*$P$3</f>
        <v>175</v>
      </c>
      <c r="E38" s="101">
        <f>185*$P$3</f>
        <v>185</v>
      </c>
      <c r="F38" s="101">
        <f>185*$P$3</f>
        <v>185</v>
      </c>
      <c r="G38" s="87" t="s">
        <v>50</v>
      </c>
      <c r="H38" s="85">
        <f>190*$P$3</f>
        <v>190</v>
      </c>
      <c r="I38" s="86">
        <f>200*$P$3</f>
        <v>200</v>
      </c>
      <c r="J38" s="87">
        <f>210*$P$3</f>
        <v>210</v>
      </c>
      <c r="K38" s="87">
        <f>210*$P$3</f>
        <v>210</v>
      </c>
      <c r="L38" s="87" t="s">
        <v>50</v>
      </c>
      <c r="M38" s="7"/>
    </row>
    <row r="39" spans="1:19" ht="19.5" customHeight="1">
      <c r="A39" s="40"/>
      <c r="B39" s="40"/>
      <c r="C39" s="84"/>
      <c r="D39" s="126"/>
      <c r="E39" s="126"/>
      <c r="F39" s="126"/>
      <c r="G39" s="126"/>
      <c r="H39" s="126"/>
      <c r="I39" s="126"/>
      <c r="J39" s="126"/>
      <c r="K39" s="126"/>
      <c r="L39" s="126"/>
    </row>
    <row r="40" spans="1:19" ht="19.5" customHeight="1">
      <c r="A40" s="40"/>
      <c r="B40" s="40"/>
      <c r="C40" s="46"/>
    </row>
    <row r="41" spans="1:19" ht="19.5" customHeight="1"/>
    <row r="42" spans="1:19" ht="19.5" customHeight="1"/>
    <row r="43" spans="1:19" ht="19.5" customHeight="1"/>
    <row r="44" spans="1:19" ht="19.5" customHeight="1"/>
    <row r="45" spans="1:19" ht="19.5" customHeight="1"/>
    <row r="46" spans="1:19" ht="19.5" customHeight="1"/>
    <row r="47" spans="1:19" ht="19.5" customHeight="1"/>
    <row r="48" spans="1:19"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sheetData>
  <sheetProtection algorithmName="SHA-512" hashValue="0cB2ms/RYPYQe8ymJanc/FMBQtU0C6nkFiS/K1oEbjY1736tGbfuEDrFRfZb4ZVm2gTtNj1wIUnup977FTrFyw==" saltValue="ECMro+mPJGU/e6Xg/X6QlQ==" spinCount="100000" sheet="1" objects="1" scenarios="1"/>
  <mergeCells count="9">
    <mergeCell ref="C25:G25"/>
    <mergeCell ref="H25:L25"/>
    <mergeCell ref="R3:R4"/>
    <mergeCell ref="B8:L8"/>
    <mergeCell ref="B24:L24"/>
    <mergeCell ref="B2:L3"/>
    <mergeCell ref="B4:L6"/>
    <mergeCell ref="C9:G9"/>
    <mergeCell ref="H9:L9"/>
  </mergeCells>
  <pageMargins left="0.25" right="0.25" top="0.75" bottom="0.75" header="0.3" footer="0.3"/>
  <pageSetup paperSize="9"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23"/>
  <sheetViews>
    <sheetView showGridLines="0" zoomScaleNormal="100" zoomScaleSheetLayoutView="100" workbookViewId="0"/>
  </sheetViews>
  <sheetFormatPr defaultRowHeight="14.25"/>
  <cols>
    <col min="1" max="1" width="3.86328125" customWidth="1"/>
    <col min="2" max="2" width="20.59765625" customWidth="1"/>
    <col min="3" max="3" width="11.73046875" customWidth="1"/>
    <col min="4" max="4" width="3.86328125" customWidth="1"/>
    <col min="5" max="5" width="16.86328125" customWidth="1"/>
    <col min="6" max="6" width="9" customWidth="1"/>
    <col min="7" max="7" width="10.265625" customWidth="1"/>
    <col min="8" max="9" width="8.86328125" customWidth="1"/>
  </cols>
  <sheetData>
    <row r="2" spans="1:9" ht="19.5" customHeight="1" thickBot="1">
      <c r="B2" s="196" t="s">
        <v>384</v>
      </c>
      <c r="C2" s="197"/>
      <c r="D2" s="7"/>
      <c r="E2" s="103" t="s">
        <v>209</v>
      </c>
      <c r="F2" s="32"/>
      <c r="G2" s="11"/>
      <c r="H2" s="11"/>
    </row>
    <row r="3" spans="1:9" ht="19.5" customHeight="1">
      <c r="B3" s="197"/>
      <c r="C3" s="197"/>
      <c r="D3" s="7"/>
      <c r="E3" s="105" t="s">
        <v>26</v>
      </c>
      <c r="F3" s="35"/>
      <c r="G3" s="27">
        <v>1</v>
      </c>
      <c r="H3" s="16" t="s">
        <v>27</v>
      </c>
      <c r="I3" s="198" t="s">
        <v>96</v>
      </c>
    </row>
    <row r="4" spans="1:9" s="7" customFormat="1" ht="19.5" customHeight="1">
      <c r="B4" s="197" t="s">
        <v>385</v>
      </c>
      <c r="C4" s="197"/>
      <c r="I4" s="198"/>
    </row>
    <row r="5" spans="1:9" s="7" customFormat="1" ht="19.5" customHeight="1">
      <c r="B5" s="197"/>
      <c r="C5" s="197"/>
    </row>
    <row r="6" spans="1:9" s="7" customFormat="1" ht="19.5" customHeight="1">
      <c r="B6" s="197"/>
      <c r="C6" s="197"/>
    </row>
    <row r="7" spans="1:9" s="7" customFormat="1" ht="14.45" customHeight="1">
      <c r="B7" s="37"/>
      <c r="C7" s="37"/>
    </row>
    <row r="8" spans="1:9" s="38" customFormat="1" ht="31.15" customHeight="1" thickBot="1">
      <c r="B8" s="10" t="s">
        <v>108</v>
      </c>
      <c r="C8" s="147" t="s">
        <v>386</v>
      </c>
      <c r="D8" s="7"/>
    </row>
    <row r="9" spans="1:9" ht="19.5" customHeight="1">
      <c r="A9" s="40"/>
      <c r="B9" s="41" t="s">
        <v>387</v>
      </c>
      <c r="C9" s="100">
        <f>49*$G$3</f>
        <v>49</v>
      </c>
    </row>
    <row r="10" spans="1:9" ht="19.5" customHeight="1">
      <c r="A10" s="40"/>
      <c r="B10" s="41" t="s">
        <v>388</v>
      </c>
      <c r="C10" s="100">
        <f>50*$G$3</f>
        <v>50</v>
      </c>
    </row>
    <row r="11" spans="1:9" ht="19.5" customHeight="1">
      <c r="A11" s="40"/>
      <c r="B11" s="41" t="s">
        <v>389</v>
      </c>
      <c r="C11" s="100">
        <f>52*$G$3</f>
        <v>52</v>
      </c>
    </row>
    <row r="12" spans="1:9" ht="19.5" customHeight="1">
      <c r="A12" s="40"/>
      <c r="B12" s="41" t="s">
        <v>390</v>
      </c>
      <c r="C12" s="100">
        <f>56*$G$3</f>
        <v>56</v>
      </c>
    </row>
    <row r="13" spans="1:9" ht="19.5" customHeight="1">
      <c r="A13" s="40"/>
      <c r="B13" s="41" t="s">
        <v>391</v>
      </c>
      <c r="C13" s="100">
        <f>56*$G$3</f>
        <v>56</v>
      </c>
    </row>
    <row r="14" spans="1:9" ht="19.5" customHeight="1">
      <c r="A14" s="40"/>
      <c r="B14" s="41" t="s">
        <v>392</v>
      </c>
      <c r="C14" s="100">
        <f>58*$G$3</f>
        <v>58</v>
      </c>
    </row>
    <row r="15" spans="1:9" ht="19.5" customHeight="1">
      <c r="A15" s="40"/>
      <c r="B15" s="41" t="s">
        <v>393</v>
      </c>
      <c r="C15" s="100">
        <f>60*$G$3</f>
        <v>60</v>
      </c>
    </row>
    <row r="16" spans="1:9" ht="19.5" customHeight="1">
      <c r="A16" s="40"/>
      <c r="B16" s="41" t="s">
        <v>394</v>
      </c>
      <c r="C16" s="100">
        <f>64*$G$3</f>
        <v>64</v>
      </c>
    </row>
    <row r="17" spans="1:3" ht="19.5" customHeight="1">
      <c r="A17" s="40"/>
      <c r="B17" s="41" t="s">
        <v>395</v>
      </c>
      <c r="C17" s="100">
        <f>68*$G$3</f>
        <v>68</v>
      </c>
    </row>
    <row r="18" spans="1:3" ht="19.5" customHeight="1">
      <c r="A18" s="40"/>
      <c r="B18" s="41" t="s">
        <v>396</v>
      </c>
      <c r="C18" s="100">
        <f>72*$G$3</f>
        <v>72</v>
      </c>
    </row>
    <row r="19" spans="1:3" ht="19.5" customHeight="1">
      <c r="A19" s="40"/>
      <c r="B19" s="41" t="s">
        <v>397</v>
      </c>
      <c r="C19" s="100">
        <f>76*$G$3</f>
        <v>76</v>
      </c>
    </row>
    <row r="20" spans="1:3" ht="19.5" customHeight="1">
      <c r="A20" s="40"/>
      <c r="B20" s="41" t="s">
        <v>398</v>
      </c>
      <c r="C20" s="100">
        <f>80*$G$3</f>
        <v>80</v>
      </c>
    </row>
    <row r="21" spans="1:3" ht="19.5" customHeight="1">
      <c r="A21" s="40"/>
      <c r="B21" s="41" t="s">
        <v>399</v>
      </c>
      <c r="C21" s="100">
        <f>84*$G$3</f>
        <v>84</v>
      </c>
    </row>
    <row r="22" spans="1:3" ht="19.5" customHeight="1">
      <c r="A22" s="40"/>
      <c r="B22" s="41" t="s">
        <v>400</v>
      </c>
      <c r="C22" s="100">
        <f>90*$G$3</f>
        <v>90</v>
      </c>
    </row>
    <row r="23" spans="1:3" ht="19.5" customHeight="1" thickBot="1">
      <c r="A23" s="40"/>
      <c r="B23" s="43" t="s">
        <v>401</v>
      </c>
      <c r="C23" s="101">
        <f>94*$G$3</f>
        <v>94</v>
      </c>
    </row>
  </sheetData>
  <sheetProtection algorithmName="SHA-512" hashValue="JUKPvFm7mF3wC3T7DgyNo2JuM6yO5X/xBB0Vt4TJ/ksZXbOYfBVliOMt39uraIrxhyOgl5PbYbGmfDk3OdVnZA==" saltValue="c8BXLw28df0iflvbV/q29g==" spinCount="100000" sheet="1" objects="1" scenarios="1"/>
  <mergeCells count="3">
    <mergeCell ref="B2:C3"/>
    <mergeCell ref="B4:C6"/>
    <mergeCell ref="I3:I4"/>
  </mergeCells>
  <pageMargins left="0.75" right="0.75" top="1" bottom="1" header="0.5" footer="0.5"/>
  <pageSetup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99C7-BC41-4DFF-903C-F83CFF7A8B76}">
  <sheetPr codeName="Sheet11">
    <pageSetUpPr fitToPage="1"/>
  </sheetPr>
  <dimension ref="A2:P41"/>
  <sheetViews>
    <sheetView showGridLines="0" workbookViewId="0"/>
  </sheetViews>
  <sheetFormatPr defaultColWidth="8.86328125" defaultRowHeight="14.25"/>
  <cols>
    <col min="1" max="1" width="3.86328125" style="42" customWidth="1"/>
    <col min="2" max="2" width="20.3984375" style="42" bestFit="1" customWidth="1"/>
    <col min="3" max="9" width="11.73046875" style="42" customWidth="1"/>
    <col min="10" max="10" width="26.3984375" style="25" bestFit="1" customWidth="1"/>
    <col min="11" max="11" width="16.86328125" style="25" bestFit="1" customWidth="1"/>
    <col min="12" max="12" width="9.265625" style="25"/>
    <col min="13" max="13" width="10.265625" style="25" customWidth="1"/>
    <col min="14" max="16" width="8.86328125" style="25"/>
    <col min="17" max="16384" width="8.86328125" style="42"/>
  </cols>
  <sheetData>
    <row r="2" spans="1:16" ht="19.149999999999999" customHeight="1" thickBot="1">
      <c r="B2" s="196" t="s">
        <v>9</v>
      </c>
      <c r="C2" s="196"/>
      <c r="D2" s="196"/>
      <c r="E2" s="196"/>
      <c r="F2" s="196"/>
      <c r="G2" s="196"/>
      <c r="H2" s="196"/>
      <c r="I2" s="196"/>
      <c r="J2" s="7"/>
      <c r="K2" s="103" t="s">
        <v>22</v>
      </c>
      <c r="L2" s="32"/>
      <c r="M2" s="11"/>
      <c r="N2" s="11"/>
      <c r="O2" s="7"/>
      <c r="P2" s="7"/>
    </row>
    <row r="3" spans="1:16" customFormat="1" ht="19.149999999999999" customHeight="1">
      <c r="B3" s="196"/>
      <c r="C3" s="196"/>
      <c r="D3" s="196"/>
      <c r="E3" s="196"/>
      <c r="F3" s="196"/>
      <c r="G3" s="196"/>
      <c r="H3" s="196"/>
      <c r="I3" s="196"/>
      <c r="J3" s="7"/>
      <c r="K3" s="105" t="s">
        <v>26</v>
      </c>
      <c r="L3" s="35"/>
      <c r="M3" s="27">
        <v>1</v>
      </c>
      <c r="N3" s="16" t="s">
        <v>27</v>
      </c>
      <c r="O3" s="198" t="s">
        <v>96</v>
      </c>
      <c r="P3" s="7"/>
    </row>
    <row r="4" spans="1:16" s="7" customFormat="1" ht="19.149999999999999" customHeight="1">
      <c r="B4" s="197" t="s">
        <v>97</v>
      </c>
      <c r="C4" s="197"/>
      <c r="D4" s="197"/>
      <c r="E4" s="197"/>
      <c r="F4" s="197"/>
      <c r="G4" s="197"/>
      <c r="H4" s="197"/>
      <c r="I4" s="197"/>
      <c r="J4" s="9"/>
      <c r="K4" s="13"/>
      <c r="O4" s="198"/>
      <c r="P4" s="9"/>
    </row>
    <row r="5" spans="1:16" s="7" customFormat="1" ht="19.149999999999999" customHeight="1">
      <c r="B5" s="197"/>
      <c r="C5" s="197"/>
      <c r="D5" s="197"/>
      <c r="E5" s="197"/>
      <c r="F5" s="197"/>
      <c r="G5" s="197"/>
      <c r="H5" s="197"/>
      <c r="I5" s="197"/>
      <c r="O5" s="49"/>
    </row>
    <row r="6" spans="1:16" s="7" customFormat="1" ht="19.149999999999999" customHeight="1">
      <c r="B6" s="197"/>
      <c r="C6" s="197"/>
      <c r="D6" s="197"/>
      <c r="E6" s="197"/>
      <c r="F6" s="197"/>
      <c r="G6" s="197"/>
      <c r="H6" s="197"/>
      <c r="I6" s="197"/>
      <c r="K6" s="9"/>
      <c r="L6" s="9"/>
      <c r="M6" s="9"/>
      <c r="N6" s="9"/>
      <c r="O6" s="49"/>
    </row>
    <row r="7" spans="1:16" s="7" customFormat="1" ht="14.45" customHeight="1">
      <c r="B7" s="37"/>
      <c r="C7" s="37"/>
      <c r="D7" s="37"/>
      <c r="E7" s="37"/>
      <c r="F7" s="37"/>
      <c r="G7" s="37"/>
      <c r="H7" s="37"/>
      <c r="I7" s="37"/>
      <c r="N7" s="29"/>
    </row>
    <row r="8" spans="1:16" s="7" customFormat="1" ht="14.45" customHeight="1">
      <c r="B8" s="129" t="s">
        <v>282</v>
      </c>
      <c r="C8" s="255" t="s">
        <v>99</v>
      </c>
      <c r="D8" s="255"/>
      <c r="E8" s="256" t="s">
        <v>281</v>
      </c>
      <c r="F8" s="256"/>
      <c r="G8" s="256"/>
      <c r="H8" s="256"/>
      <c r="I8" s="256"/>
      <c r="N8" s="29"/>
    </row>
    <row r="9" spans="1:16" s="38" customFormat="1" ht="31.15" customHeight="1" thickBot="1">
      <c r="B9" s="66" t="s">
        <v>108</v>
      </c>
      <c r="C9" s="147" t="s">
        <v>283</v>
      </c>
      <c r="D9" s="146" t="s">
        <v>284</v>
      </c>
      <c r="E9" s="39" t="s">
        <v>285</v>
      </c>
      <c r="F9" s="145" t="s">
        <v>286</v>
      </c>
      <c r="G9" s="145" t="s">
        <v>287</v>
      </c>
      <c r="H9" s="39" t="s">
        <v>370</v>
      </c>
      <c r="I9" s="39" t="s">
        <v>371</v>
      </c>
      <c r="J9" s="7"/>
      <c r="K9" s="7"/>
      <c r="L9" s="7"/>
      <c r="M9" s="7"/>
      <c r="N9" s="7"/>
      <c r="O9" s="29"/>
      <c r="P9" s="7"/>
    </row>
    <row r="10" spans="1:16" ht="16.899999999999999" customHeight="1">
      <c r="A10" s="40"/>
      <c r="B10" s="149" t="s">
        <v>376</v>
      </c>
      <c r="C10" s="82" t="s">
        <v>50</v>
      </c>
      <c r="D10" s="150" t="s">
        <v>50</v>
      </c>
      <c r="E10" s="83">
        <f>2*$M$3</f>
        <v>2</v>
      </c>
      <c r="F10" s="151">
        <f>3*$M$3</f>
        <v>3</v>
      </c>
      <c r="G10" s="151">
        <f>4*$M$3</f>
        <v>4</v>
      </c>
      <c r="H10" s="151">
        <f>4*$M$3</f>
        <v>4</v>
      </c>
      <c r="I10" s="84">
        <f>5*$M$3</f>
        <v>5</v>
      </c>
      <c r="J10" s="7"/>
      <c r="K10" s="7"/>
      <c r="L10" s="7"/>
      <c r="M10" s="7"/>
      <c r="N10" s="7"/>
      <c r="O10" s="7"/>
      <c r="P10" s="29"/>
    </row>
    <row r="11" spans="1:16" ht="16.899999999999999" customHeight="1">
      <c r="A11" s="40"/>
      <c r="B11" s="41" t="s">
        <v>100</v>
      </c>
      <c r="C11" s="82">
        <f>0.55*$M$3</f>
        <v>0.55000000000000004</v>
      </c>
      <c r="D11" s="82">
        <f>0.65*$M$3</f>
        <v>0.65</v>
      </c>
      <c r="E11" s="83">
        <f>3.75*$M$3</f>
        <v>3.75</v>
      </c>
      <c r="F11" s="84">
        <f>6.5*$M$3</f>
        <v>6.5</v>
      </c>
      <c r="G11" s="84">
        <f>8*$M$3</f>
        <v>8</v>
      </c>
      <c r="H11" s="84">
        <f>8*$M$3</f>
        <v>8</v>
      </c>
      <c r="I11" s="84">
        <f>9.5*$M$3</f>
        <v>9.5</v>
      </c>
      <c r="J11" s="7"/>
      <c r="K11" s="7"/>
      <c r="L11" s="7"/>
      <c r="M11" s="7"/>
      <c r="N11" s="7"/>
      <c r="O11" s="7"/>
      <c r="P11" s="29"/>
    </row>
    <row r="12" spans="1:16" ht="16.899999999999999" customHeight="1">
      <c r="A12" s="40"/>
      <c r="B12" s="41" t="s">
        <v>101</v>
      </c>
      <c r="C12" s="82">
        <f>0.65*$M$3</f>
        <v>0.65</v>
      </c>
      <c r="D12" s="82">
        <f>0.8*$M$3</f>
        <v>0.8</v>
      </c>
      <c r="E12" s="83">
        <f>3.75*$M$3</f>
        <v>3.75</v>
      </c>
      <c r="F12" s="84">
        <f>6.5*$M$3</f>
        <v>6.5</v>
      </c>
      <c r="G12" s="84">
        <f>8*$M$3</f>
        <v>8</v>
      </c>
      <c r="H12" s="84">
        <f>8*$M$3</f>
        <v>8</v>
      </c>
      <c r="I12" s="84">
        <f>9.5*$M$3</f>
        <v>9.5</v>
      </c>
      <c r="J12" s="7"/>
      <c r="K12" s="7"/>
      <c r="L12" s="7"/>
      <c r="M12" s="7"/>
      <c r="N12" s="7"/>
      <c r="O12" s="7"/>
      <c r="P12" s="7"/>
    </row>
    <row r="13" spans="1:16" ht="16.899999999999999" customHeight="1">
      <c r="A13" s="40"/>
      <c r="B13" s="41" t="s">
        <v>102</v>
      </c>
      <c r="C13" s="82">
        <f>0.85*$M$3</f>
        <v>0.85</v>
      </c>
      <c r="D13" s="82">
        <f>1*$M$3</f>
        <v>1</v>
      </c>
      <c r="E13" s="83">
        <f>4.25*$M$3</f>
        <v>4.25</v>
      </c>
      <c r="F13" s="84">
        <f>7*$M$3</f>
        <v>7</v>
      </c>
      <c r="G13" s="84">
        <f>8.5*$M$3</f>
        <v>8.5</v>
      </c>
      <c r="H13" s="84">
        <f>8.5*$M$3</f>
        <v>8.5</v>
      </c>
      <c r="I13" s="84">
        <f>10*$M$3</f>
        <v>10</v>
      </c>
      <c r="J13" s="7"/>
      <c r="K13" s="7"/>
      <c r="L13" s="7"/>
      <c r="M13" s="7"/>
      <c r="N13" s="7"/>
      <c r="O13" s="7"/>
      <c r="P13" s="7"/>
    </row>
    <row r="14" spans="1:16" ht="16.899999999999999" customHeight="1">
      <c r="A14" s="40"/>
      <c r="B14" s="41" t="s">
        <v>103</v>
      </c>
      <c r="C14" s="82">
        <f>1.25*$M$3</f>
        <v>1.25</v>
      </c>
      <c r="D14" s="82">
        <f>1.5*$M$3</f>
        <v>1.5</v>
      </c>
      <c r="E14" s="83">
        <f>7*$M$3</f>
        <v>7</v>
      </c>
      <c r="F14" s="84">
        <f>9*$M$3</f>
        <v>9</v>
      </c>
      <c r="G14" s="84">
        <f>12*$M$3</f>
        <v>12</v>
      </c>
      <c r="H14" s="84">
        <f>12*$M$3</f>
        <v>12</v>
      </c>
      <c r="I14" s="84">
        <f>15*$M$3</f>
        <v>15</v>
      </c>
      <c r="J14" s="29"/>
      <c r="K14" s="7"/>
      <c r="L14" s="7"/>
      <c r="M14" s="7"/>
      <c r="N14" s="7"/>
      <c r="O14" s="7"/>
      <c r="P14" s="7"/>
    </row>
    <row r="15" spans="1:16" ht="16.899999999999999" customHeight="1">
      <c r="A15" s="40"/>
      <c r="B15" s="41" t="s">
        <v>104</v>
      </c>
      <c r="C15" s="82">
        <f>1.25*$M$3</f>
        <v>1.25</v>
      </c>
      <c r="D15" s="82">
        <f>1.5*$M$3</f>
        <v>1.5</v>
      </c>
      <c r="E15" s="83">
        <f>7*$M$3</f>
        <v>7</v>
      </c>
      <c r="F15" s="84">
        <f>9*$M$3</f>
        <v>9</v>
      </c>
      <c r="G15" s="84">
        <f>12*$M$3</f>
        <v>12</v>
      </c>
      <c r="H15" s="84">
        <f>12*$M$3</f>
        <v>12</v>
      </c>
      <c r="I15" s="84">
        <f>15*$M$3</f>
        <v>15</v>
      </c>
      <c r="J15" s="7"/>
      <c r="K15" s="7"/>
      <c r="L15" s="7"/>
      <c r="M15" s="7"/>
      <c r="N15" s="7"/>
      <c r="O15" s="7"/>
      <c r="P15" s="7"/>
    </row>
    <row r="16" spans="1:16" ht="16.899999999999999" customHeight="1">
      <c r="A16" s="40"/>
      <c r="B16" s="41" t="s">
        <v>105</v>
      </c>
      <c r="C16" s="82">
        <f>2.55*$M$3</f>
        <v>2.5499999999999998</v>
      </c>
      <c r="D16" s="82">
        <f>3.25*$M$3</f>
        <v>3.25</v>
      </c>
      <c r="E16" s="83">
        <f>8*$M$3</f>
        <v>8</v>
      </c>
      <c r="F16" s="84">
        <f>15*$M$3</f>
        <v>15</v>
      </c>
      <c r="G16" s="84">
        <f>17*$M$3</f>
        <v>17</v>
      </c>
      <c r="H16" s="84">
        <f>17*$M$3</f>
        <v>17</v>
      </c>
      <c r="I16" s="84">
        <f>19*$M$3</f>
        <v>19</v>
      </c>
      <c r="J16" s="7"/>
      <c r="K16" s="7"/>
      <c r="L16" s="7"/>
      <c r="M16" s="7"/>
      <c r="N16" s="7"/>
      <c r="O16" s="7"/>
      <c r="P16" s="7"/>
    </row>
    <row r="17" spans="1:16" ht="16.899999999999999" customHeight="1">
      <c r="A17" s="40"/>
      <c r="B17" s="41" t="s">
        <v>106</v>
      </c>
      <c r="C17" s="82">
        <f>3.55*$M$3</f>
        <v>3.55</v>
      </c>
      <c r="D17" s="82">
        <f>4.5*$M$3</f>
        <v>4.5</v>
      </c>
      <c r="E17" s="83">
        <f>8*$M$3</f>
        <v>8</v>
      </c>
      <c r="F17" s="84">
        <f>15*$M$3</f>
        <v>15</v>
      </c>
      <c r="G17" s="84">
        <f>17*$M$3</f>
        <v>17</v>
      </c>
      <c r="H17" s="84">
        <f>17*$M$3</f>
        <v>17</v>
      </c>
      <c r="I17" s="84">
        <f>19*$M$3</f>
        <v>19</v>
      </c>
      <c r="J17" s="7"/>
      <c r="K17" s="7"/>
      <c r="L17" s="7"/>
      <c r="M17" s="7"/>
      <c r="N17" s="7"/>
      <c r="O17" s="7"/>
      <c r="P17" s="7"/>
    </row>
    <row r="18" spans="1:16" ht="16.899999999999999" customHeight="1">
      <c r="A18" s="40"/>
      <c r="B18" s="41" t="s">
        <v>107</v>
      </c>
      <c r="C18" s="82">
        <f>4*$M$3</f>
        <v>4</v>
      </c>
      <c r="D18" s="82">
        <f>5.5*$M$3</f>
        <v>5.5</v>
      </c>
      <c r="E18" s="83">
        <f>8*$M$3</f>
        <v>8</v>
      </c>
      <c r="F18" s="84">
        <f>15*$M$3</f>
        <v>15</v>
      </c>
      <c r="G18" s="84">
        <f>17*$M$3</f>
        <v>17</v>
      </c>
      <c r="H18" s="84">
        <f>22*$M$3</f>
        <v>22</v>
      </c>
      <c r="I18" s="84">
        <f>25*$M$3</f>
        <v>25</v>
      </c>
      <c r="J18" s="7"/>
      <c r="K18" s="7"/>
      <c r="L18" s="7"/>
      <c r="M18" s="7"/>
      <c r="N18" s="7"/>
      <c r="O18" s="7"/>
      <c r="P18" s="7"/>
    </row>
    <row r="19" spans="1:16" ht="16.899999999999999" customHeight="1">
      <c r="A19" s="40"/>
      <c r="B19" s="41" t="s">
        <v>173</v>
      </c>
      <c r="C19" s="82">
        <f>5*$M$3</f>
        <v>5</v>
      </c>
      <c r="D19" s="82">
        <f>6.5*$M$3</f>
        <v>6.5</v>
      </c>
      <c r="E19" s="83">
        <f>10*$M$3</f>
        <v>10</v>
      </c>
      <c r="F19" s="84">
        <f>20*$M$3</f>
        <v>20</v>
      </c>
      <c r="G19" s="84">
        <f>25*$M$3</f>
        <v>25</v>
      </c>
      <c r="H19" s="84">
        <f>22*$M$3</f>
        <v>22</v>
      </c>
      <c r="I19" s="84">
        <f>27*$M$3</f>
        <v>27</v>
      </c>
      <c r="J19" s="7"/>
      <c r="K19" s="7"/>
      <c r="L19" s="7"/>
      <c r="M19" s="7"/>
      <c r="N19" s="7"/>
      <c r="O19" s="7"/>
      <c r="P19" s="7"/>
    </row>
    <row r="20" spans="1:16" ht="16.899999999999999" customHeight="1">
      <c r="A20" s="40"/>
      <c r="B20" s="41" t="s">
        <v>131</v>
      </c>
      <c r="C20" s="82">
        <f>7.5*$M$3</f>
        <v>7.5</v>
      </c>
      <c r="D20" s="82">
        <f>9.5*$M$3</f>
        <v>9.5</v>
      </c>
      <c r="E20" s="83">
        <f>12*$M$3</f>
        <v>12</v>
      </c>
      <c r="F20" s="84">
        <f>30*$M$3</f>
        <v>30</v>
      </c>
      <c r="G20" s="84">
        <f>35*$M$3</f>
        <v>35</v>
      </c>
      <c r="H20" s="84">
        <f>33*$M$3</f>
        <v>33</v>
      </c>
      <c r="I20" s="84">
        <f>38*$M$3</f>
        <v>38</v>
      </c>
      <c r="J20" s="7"/>
      <c r="K20" s="7"/>
      <c r="L20" s="7"/>
      <c r="M20" s="7"/>
      <c r="N20" s="7"/>
      <c r="O20" s="7"/>
      <c r="P20" s="7"/>
    </row>
    <row r="21" spans="1:16" ht="16.899999999999999" customHeight="1" thickBot="1">
      <c r="A21" s="40"/>
      <c r="B21" s="41" t="s">
        <v>288</v>
      </c>
      <c r="C21" s="82">
        <f>6.5*$M$3</f>
        <v>6.5</v>
      </c>
      <c r="D21" s="82">
        <v>8.5</v>
      </c>
      <c r="E21" s="86">
        <f>12*$M$3</f>
        <v>12</v>
      </c>
      <c r="F21" s="87">
        <f>30*$M$3</f>
        <v>30</v>
      </c>
      <c r="G21" s="87">
        <f>35*$M$3</f>
        <v>35</v>
      </c>
      <c r="H21" s="87">
        <f>33*$M$3</f>
        <v>33</v>
      </c>
      <c r="I21" s="87">
        <f>38*$M$3</f>
        <v>38</v>
      </c>
      <c r="J21" s="7"/>
      <c r="K21" s="7"/>
      <c r="L21" s="7"/>
      <c r="M21" s="7"/>
      <c r="N21" s="7"/>
      <c r="O21" s="7"/>
      <c r="P21" s="7"/>
    </row>
    <row r="22" spans="1:16" ht="14.45" customHeight="1">
      <c r="A22" s="40"/>
      <c r="B22" s="152"/>
      <c r="C22" s="152"/>
      <c r="D22" s="152"/>
      <c r="E22" s="40"/>
      <c r="F22" s="40"/>
      <c r="G22" s="40"/>
      <c r="H22" s="40"/>
      <c r="I22" s="40"/>
      <c r="J22" s="7"/>
      <c r="K22" s="7"/>
      <c r="L22" s="7"/>
      <c r="M22" s="7"/>
      <c r="N22" s="7"/>
      <c r="O22" s="7"/>
      <c r="P22" s="7"/>
    </row>
    <row r="23" spans="1:16" s="7" customFormat="1" ht="14.65" customHeight="1">
      <c r="B23" s="129" t="s">
        <v>280</v>
      </c>
      <c r="C23" s="255" t="s">
        <v>99</v>
      </c>
      <c r="D23" s="255"/>
      <c r="E23" s="256" t="s">
        <v>281</v>
      </c>
      <c r="F23" s="256"/>
      <c r="G23" s="256"/>
      <c r="H23" s="256"/>
      <c r="I23" s="256"/>
      <c r="J23" s="119"/>
      <c r="N23" s="29"/>
    </row>
    <row r="24" spans="1:16" s="38" customFormat="1" ht="31.15" customHeight="1" thickBot="1">
      <c r="A24" s="44"/>
      <c r="B24" s="10" t="s">
        <v>108</v>
      </c>
      <c r="C24" s="147" t="s">
        <v>283</v>
      </c>
      <c r="D24" s="147" t="s">
        <v>284</v>
      </c>
      <c r="E24" s="39" t="s">
        <v>285</v>
      </c>
      <c r="F24" s="39" t="s">
        <v>286</v>
      </c>
      <c r="G24" s="39" t="s">
        <v>287</v>
      </c>
      <c r="H24" s="39" t="s">
        <v>370</v>
      </c>
      <c r="I24" s="39" t="s">
        <v>371</v>
      </c>
      <c r="J24" s="66" t="s">
        <v>34</v>
      </c>
      <c r="K24" s="25"/>
      <c r="L24" s="25"/>
      <c r="M24" s="25"/>
      <c r="N24" s="7"/>
      <c r="O24" s="7"/>
      <c r="P24" s="7"/>
    </row>
    <row r="25" spans="1:16" ht="16.899999999999999" customHeight="1">
      <c r="A25" s="40"/>
      <c r="B25" s="153" t="s">
        <v>109</v>
      </c>
      <c r="C25" s="154">
        <f>12*$M$3</f>
        <v>12</v>
      </c>
      <c r="D25" s="150">
        <f>12*$M$3</f>
        <v>12</v>
      </c>
      <c r="E25" s="155" t="s">
        <v>50</v>
      </c>
      <c r="F25" s="151">
        <f>13*$M$3</f>
        <v>13</v>
      </c>
      <c r="G25" s="151">
        <f>15*$M$3</f>
        <v>15</v>
      </c>
      <c r="H25" s="84">
        <f>15*$M$3</f>
        <v>15</v>
      </c>
      <c r="I25" s="84">
        <f>17*$M$3</f>
        <v>17</v>
      </c>
      <c r="J25" s="153" t="s">
        <v>110</v>
      </c>
      <c r="N25" s="7"/>
      <c r="O25" s="7"/>
      <c r="P25" s="7"/>
    </row>
    <row r="26" spans="1:16" ht="16.899999999999999" customHeight="1">
      <c r="A26" s="40"/>
      <c r="B26" s="45" t="s">
        <v>111</v>
      </c>
      <c r="C26" s="100">
        <f>13*$M$3</f>
        <v>13</v>
      </c>
      <c r="D26" s="82">
        <f>13*$M$3</f>
        <v>13</v>
      </c>
      <c r="E26" s="52" t="s">
        <v>50</v>
      </c>
      <c r="F26" s="84">
        <f>16*$M$3</f>
        <v>16</v>
      </c>
      <c r="G26" s="84">
        <f>18*$M$3</f>
        <v>18</v>
      </c>
      <c r="H26" s="84">
        <f>18*$M$3</f>
        <v>18</v>
      </c>
      <c r="I26" s="84">
        <f>20*$M$3</f>
        <v>20</v>
      </c>
      <c r="J26" s="45" t="s">
        <v>112</v>
      </c>
      <c r="O26" s="7"/>
      <c r="P26" s="7"/>
    </row>
    <row r="27" spans="1:16" ht="16.899999999999999" customHeight="1">
      <c r="A27" s="40"/>
      <c r="B27" s="45" t="s">
        <v>113</v>
      </c>
      <c r="C27" s="100">
        <f>13*$M$3</f>
        <v>13</v>
      </c>
      <c r="D27" s="82">
        <f>13*$M$3</f>
        <v>13</v>
      </c>
      <c r="E27" s="52" t="s">
        <v>50</v>
      </c>
      <c r="F27" s="84">
        <f>16*$M$3</f>
        <v>16</v>
      </c>
      <c r="G27" s="84">
        <f>18*$M$3</f>
        <v>18</v>
      </c>
      <c r="H27" s="84">
        <f>19*$M$3</f>
        <v>19</v>
      </c>
      <c r="I27" s="84">
        <f>21*$M$3</f>
        <v>21</v>
      </c>
      <c r="J27" s="45" t="s">
        <v>114</v>
      </c>
      <c r="P27" s="7"/>
    </row>
    <row r="28" spans="1:16" ht="16.899999999999999" customHeight="1">
      <c r="A28" s="40"/>
      <c r="B28" s="45" t="s">
        <v>115</v>
      </c>
      <c r="C28" s="100">
        <f>16*$M$3</f>
        <v>16</v>
      </c>
      <c r="D28" s="82">
        <f>16*$M$3</f>
        <v>16</v>
      </c>
      <c r="E28" s="52" t="s">
        <v>50</v>
      </c>
      <c r="F28" s="84">
        <f>22*$M$3</f>
        <v>22</v>
      </c>
      <c r="G28" s="84">
        <f>25*$M$3</f>
        <v>25</v>
      </c>
      <c r="H28" s="84">
        <f>24*$M$3</f>
        <v>24</v>
      </c>
      <c r="I28" s="84">
        <f>27*$M$3</f>
        <v>27</v>
      </c>
      <c r="J28" s="45" t="s">
        <v>116</v>
      </c>
    </row>
    <row r="29" spans="1:16" ht="16.899999999999999" customHeight="1">
      <c r="A29" s="40"/>
      <c r="B29" s="45" t="s">
        <v>117</v>
      </c>
      <c r="C29" s="100">
        <f>16*$M$3</f>
        <v>16</v>
      </c>
      <c r="D29" s="82">
        <f>16*$M$3</f>
        <v>16</v>
      </c>
      <c r="E29" s="52" t="s">
        <v>50</v>
      </c>
      <c r="F29" s="84">
        <f>22*$M$3</f>
        <v>22</v>
      </c>
      <c r="G29" s="84">
        <f>25*$M$3</f>
        <v>25</v>
      </c>
      <c r="H29" s="84">
        <f>24*$M$3</f>
        <v>24</v>
      </c>
      <c r="I29" s="84">
        <f>27*$M$3</f>
        <v>27</v>
      </c>
      <c r="J29" s="45" t="s">
        <v>118</v>
      </c>
    </row>
    <row r="30" spans="1:16" ht="16.899999999999999" customHeight="1">
      <c r="A30" s="40"/>
      <c r="B30" s="45" t="s">
        <v>119</v>
      </c>
      <c r="C30" s="100">
        <f>35*$M$3</f>
        <v>35</v>
      </c>
      <c r="D30" s="82">
        <f>35*$M$3</f>
        <v>35</v>
      </c>
      <c r="E30" s="52" t="s">
        <v>50</v>
      </c>
      <c r="F30" s="84">
        <f>40*$M$3</f>
        <v>40</v>
      </c>
      <c r="G30" s="84">
        <f>45*$M$3</f>
        <v>45</v>
      </c>
      <c r="H30" s="84">
        <f>42*$M$3</f>
        <v>42</v>
      </c>
      <c r="I30" s="84">
        <f>47*$M$3</f>
        <v>47</v>
      </c>
      <c r="J30" s="45" t="s">
        <v>120</v>
      </c>
    </row>
    <row r="31" spans="1:16" ht="16.899999999999999" customHeight="1" thickBot="1">
      <c r="A31" s="40"/>
      <c r="B31" s="41" t="s">
        <v>198</v>
      </c>
      <c r="C31" s="101">
        <f>3*$M$3</f>
        <v>3</v>
      </c>
      <c r="D31" s="82">
        <f>3*$M$3</f>
        <v>3</v>
      </c>
      <c r="E31" s="53" t="s">
        <v>50</v>
      </c>
      <c r="F31" s="101">
        <f>3*$M$3</f>
        <v>3</v>
      </c>
      <c r="G31" s="101">
        <f>3*$M$3</f>
        <v>3</v>
      </c>
      <c r="H31" s="84">
        <f>3*$M$3</f>
        <v>3</v>
      </c>
      <c r="I31" s="87">
        <f>3*$M$3</f>
        <v>3</v>
      </c>
      <c r="J31" s="45"/>
    </row>
    <row r="32" spans="1:16" ht="14.45" customHeight="1">
      <c r="A32" s="40"/>
      <c r="B32" s="152"/>
      <c r="C32" s="40"/>
      <c r="D32" s="152"/>
      <c r="E32" s="40"/>
      <c r="F32" s="40"/>
      <c r="G32" s="40"/>
      <c r="H32" s="152"/>
      <c r="I32" s="40"/>
      <c r="J32" s="96"/>
      <c r="K32" s="7"/>
      <c r="L32" s="7"/>
      <c r="M32" s="7"/>
      <c r="N32" s="7"/>
      <c r="O32" s="7"/>
      <c r="P32" s="7"/>
    </row>
    <row r="33" spans="1:16" s="7" customFormat="1" ht="14.65" customHeight="1">
      <c r="B33" s="129" t="s">
        <v>278</v>
      </c>
      <c r="C33" s="130" t="s">
        <v>279</v>
      </c>
      <c r="D33" s="131"/>
      <c r="E33" s="254"/>
      <c r="F33" s="254"/>
      <c r="G33" s="254"/>
      <c r="H33" s="140"/>
      <c r="I33" s="140"/>
      <c r="N33" s="29"/>
    </row>
    <row r="34" spans="1:16" s="38" customFormat="1" ht="31.15" customHeight="1" thickBot="1">
      <c r="A34" s="44"/>
      <c r="B34" s="10" t="s">
        <v>98</v>
      </c>
      <c r="C34" s="145" t="s">
        <v>277</v>
      </c>
      <c r="D34" s="128"/>
      <c r="E34" s="40"/>
      <c r="F34" s="40"/>
      <c r="G34" s="40"/>
      <c r="H34" s="40"/>
      <c r="I34" s="40"/>
      <c r="J34" s="25"/>
      <c r="K34" s="25"/>
      <c r="L34" s="25"/>
      <c r="M34" s="25"/>
      <c r="N34" s="7"/>
      <c r="O34" s="7"/>
      <c r="P34" s="7"/>
    </row>
    <row r="35" spans="1:16" ht="16.899999999999999" customHeight="1">
      <c r="A35" s="40"/>
      <c r="B35" s="41" t="s">
        <v>172</v>
      </c>
      <c r="C35" s="154">
        <f>8*$M$3</f>
        <v>8</v>
      </c>
      <c r="D35" s="100"/>
      <c r="N35" s="7"/>
      <c r="O35" s="7"/>
      <c r="P35" s="7"/>
    </row>
    <row r="36" spans="1:16" ht="16.899999999999999" customHeight="1">
      <c r="A36" s="40"/>
      <c r="B36" s="41" t="s">
        <v>106</v>
      </c>
      <c r="C36" s="100">
        <f>9*$M$3</f>
        <v>9</v>
      </c>
      <c r="D36" s="100"/>
      <c r="O36" s="7"/>
      <c r="P36" s="7"/>
    </row>
    <row r="37" spans="1:16" ht="16.899999999999999" customHeight="1">
      <c r="A37" s="40"/>
      <c r="B37" s="41" t="s">
        <v>107</v>
      </c>
      <c r="C37" s="100">
        <f>9*$M$3</f>
        <v>9</v>
      </c>
      <c r="D37" s="100"/>
      <c r="O37" s="7"/>
      <c r="P37" s="7"/>
    </row>
    <row r="38" spans="1:16" ht="16.899999999999999" customHeight="1">
      <c r="A38" s="40"/>
      <c r="B38" s="41" t="s">
        <v>173</v>
      </c>
      <c r="C38" s="100">
        <f>9*$M$3</f>
        <v>9</v>
      </c>
      <c r="D38" s="100"/>
    </row>
    <row r="39" spans="1:16" ht="16.899999999999999" customHeight="1">
      <c r="A39" s="40"/>
      <c r="B39" s="41" t="s">
        <v>196</v>
      </c>
      <c r="C39" s="100">
        <f>10*$M$3</f>
        <v>10</v>
      </c>
      <c r="D39" s="100"/>
    </row>
    <row r="40" spans="1:16" ht="16.899999999999999" customHeight="1">
      <c r="A40" s="40"/>
      <c r="B40" s="41" t="s">
        <v>197</v>
      </c>
      <c r="C40" s="100">
        <f>20*$M$3</f>
        <v>20</v>
      </c>
      <c r="D40" s="100"/>
    </row>
    <row r="41" spans="1:16" ht="19.149999999999999" customHeight="1" thickBot="1">
      <c r="A41" s="40"/>
      <c r="B41" s="43" t="s">
        <v>198</v>
      </c>
      <c r="C41" s="101">
        <f>3*$M$3</f>
        <v>3</v>
      </c>
      <c r="D41" s="100"/>
    </row>
  </sheetData>
  <sheetProtection algorithmName="SHA-512" hashValue="VpZgn/Uht8+vyhbyPaXD0cDSyI3Vev0uLqv1QzejuW1e9p/HKrzl5hKF4H+T1lmvki5TsgilQjKkiQUqbV9a2g==" saltValue="VTnlFRF6cF92By/ksjt4VA==" spinCount="100000" sheet="1" objects="1" scenarios="1"/>
  <mergeCells count="8">
    <mergeCell ref="O3:O4"/>
    <mergeCell ref="E33:G33"/>
    <mergeCell ref="C23:D23"/>
    <mergeCell ref="C8:D8"/>
    <mergeCell ref="E8:I8"/>
    <mergeCell ref="B2:I3"/>
    <mergeCell ref="B4:I6"/>
    <mergeCell ref="E23:I23"/>
  </mergeCells>
  <printOptions horizontalCentered="1"/>
  <pageMargins left="0.25" right="0.25" top="0.75" bottom="0.75" header="0.3" footer="0.3"/>
  <pageSetup paperSize="9" scale="68"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F456-3E64-4D83-AA16-9EAF31C610B8}">
  <sheetPr codeName="Sheet12">
    <pageSetUpPr fitToPage="1"/>
  </sheetPr>
  <dimension ref="A2:L43"/>
  <sheetViews>
    <sheetView showGridLines="0" topLeftCell="B1" zoomScaleNormal="100" workbookViewId="0"/>
  </sheetViews>
  <sheetFormatPr defaultColWidth="9.265625" defaultRowHeight="14.25"/>
  <cols>
    <col min="1" max="1" width="3.86328125" style="25" customWidth="1"/>
    <col min="2" max="2" width="20.3984375" style="25" bestFit="1" customWidth="1"/>
    <col min="3" max="5" width="13.73046875" style="25" customWidth="1"/>
    <col min="6" max="6" width="3.86328125" style="25" customWidth="1"/>
    <col min="7" max="7" width="21" style="25" bestFit="1" customWidth="1"/>
    <col min="8" max="8" width="9.265625" style="25"/>
    <col min="9" max="9" width="10.265625" style="25" customWidth="1"/>
    <col min="10" max="16384" width="9.265625" style="25"/>
  </cols>
  <sheetData>
    <row r="2" spans="2:12" s="7" customFormat="1" ht="19.149999999999999" customHeight="1" thickBot="1">
      <c r="B2" s="196" t="s">
        <v>10</v>
      </c>
      <c r="C2" s="196"/>
      <c r="D2" s="196"/>
      <c r="E2" s="196"/>
      <c r="G2" s="103" t="s">
        <v>22</v>
      </c>
      <c r="H2" s="32"/>
      <c r="I2" s="11"/>
      <c r="J2" s="11"/>
    </row>
    <row r="3" spans="2:12" s="7" customFormat="1" ht="19.149999999999999" customHeight="1">
      <c r="B3" s="196"/>
      <c r="C3" s="196"/>
      <c r="D3" s="196"/>
      <c r="E3" s="196"/>
      <c r="G3" s="105" t="s">
        <v>26</v>
      </c>
      <c r="H3" s="35"/>
      <c r="I3" s="27">
        <v>1</v>
      </c>
      <c r="J3" s="16" t="s">
        <v>27</v>
      </c>
      <c r="K3" s="198" t="s">
        <v>96</v>
      </c>
    </row>
    <row r="4" spans="2:12" s="7" customFormat="1" ht="19.149999999999999" customHeight="1">
      <c r="B4" s="197" t="s">
        <v>121</v>
      </c>
      <c r="C4" s="197"/>
      <c r="D4" s="197"/>
      <c r="E4" s="197"/>
      <c r="G4" s="105" t="s">
        <v>30</v>
      </c>
      <c r="H4" s="35"/>
      <c r="I4" s="27">
        <v>1</v>
      </c>
      <c r="J4" s="16" t="s">
        <v>27</v>
      </c>
      <c r="K4" s="198"/>
    </row>
    <row r="5" spans="2:12" s="7" customFormat="1" ht="19.149999999999999" customHeight="1">
      <c r="B5" s="197"/>
      <c r="C5" s="197"/>
      <c r="D5" s="197"/>
      <c r="E5" s="197"/>
      <c r="G5" s="115"/>
      <c r="K5" s="49"/>
    </row>
    <row r="6" spans="2:12" s="9" customFormat="1" ht="13.9" customHeight="1">
      <c r="B6" s="8"/>
      <c r="C6" s="8"/>
      <c r="D6" s="8"/>
      <c r="E6" s="8"/>
      <c r="G6" s="116"/>
      <c r="K6" s="49"/>
      <c r="L6" s="7"/>
    </row>
    <row r="7" spans="2:12" s="7" customFormat="1" ht="45" customHeight="1" thickBot="1">
      <c r="B7" s="66" t="s">
        <v>98</v>
      </c>
      <c r="C7" s="67" t="s">
        <v>122</v>
      </c>
      <c r="D7" s="67" t="s">
        <v>123</v>
      </c>
      <c r="E7" s="67" t="s">
        <v>124</v>
      </c>
      <c r="G7" s="103" t="s">
        <v>47</v>
      </c>
      <c r="H7" s="32"/>
      <c r="I7" s="106" t="s">
        <v>48</v>
      </c>
      <c r="J7" s="107" t="s">
        <v>49</v>
      </c>
    </row>
    <row r="8" spans="2:12" s="7" customFormat="1" ht="19.149999999999999" customHeight="1">
      <c r="B8" s="14" t="s">
        <v>100</v>
      </c>
      <c r="C8" s="89">
        <f>(45*I3)+(I15*I4)</f>
        <v>45</v>
      </c>
      <c r="D8" s="89">
        <f>(60*I3)+(I15*I4)</f>
        <v>60</v>
      </c>
      <c r="E8" s="89">
        <f>(50*I3)+(I15*I4)</f>
        <v>50</v>
      </c>
      <c r="G8" s="117" t="s">
        <v>125</v>
      </c>
      <c r="H8" s="88">
        <v>18</v>
      </c>
      <c r="I8" s="17">
        <v>0</v>
      </c>
      <c r="J8" s="18">
        <f t="shared" ref="J8:J13" si="0">H8*I8</f>
        <v>0</v>
      </c>
    </row>
    <row r="9" spans="2:12" s="7" customFormat="1" ht="19.149999999999999" customHeight="1">
      <c r="B9" s="14" t="s">
        <v>101</v>
      </c>
      <c r="C9" s="89">
        <f>(45*I3)+(I15*I4)</f>
        <v>45</v>
      </c>
      <c r="D9" s="89">
        <f>(60*I3)+(I15*I4)</f>
        <v>60</v>
      </c>
      <c r="E9" s="89" t="s">
        <v>50</v>
      </c>
      <c r="G9" s="117" t="s">
        <v>126</v>
      </c>
      <c r="H9" s="88">
        <v>18</v>
      </c>
      <c r="I9" s="17">
        <v>0</v>
      </c>
      <c r="J9" s="18">
        <f t="shared" si="0"/>
        <v>0</v>
      </c>
    </row>
    <row r="10" spans="2:12" s="7" customFormat="1" ht="19.149999999999999" customHeight="1">
      <c r="B10" s="14" t="s">
        <v>102</v>
      </c>
      <c r="C10" s="89">
        <f>(50*I3)+(I15*I4)</f>
        <v>50</v>
      </c>
      <c r="D10" s="89">
        <f>(65*I3)+(I15*I4)</f>
        <v>65</v>
      </c>
      <c r="E10" s="89" t="s">
        <v>50</v>
      </c>
      <c r="G10" s="117" t="s">
        <v>127</v>
      </c>
      <c r="H10" s="88">
        <v>18</v>
      </c>
      <c r="I10" s="17">
        <v>0</v>
      </c>
      <c r="J10" s="18">
        <f t="shared" si="0"/>
        <v>0</v>
      </c>
      <c r="K10" s="47" t="s">
        <v>128</v>
      </c>
    </row>
    <row r="11" spans="2:12" s="7" customFormat="1" ht="19.149999999999999" customHeight="1">
      <c r="B11" s="14" t="s">
        <v>200</v>
      </c>
      <c r="C11" s="89">
        <f>(55*I3)+(I15*I4)</f>
        <v>55</v>
      </c>
      <c r="D11" s="89">
        <f>(70*I3)+(I15*I4)</f>
        <v>70</v>
      </c>
      <c r="E11" s="89" t="s">
        <v>50</v>
      </c>
      <c r="G11" s="117" t="s">
        <v>155</v>
      </c>
      <c r="H11" s="88">
        <v>40</v>
      </c>
      <c r="I11" s="17">
        <v>0</v>
      </c>
      <c r="J11" s="18">
        <f t="shared" ref="J11" si="1">H11*I11</f>
        <v>0</v>
      </c>
      <c r="K11" s="47"/>
    </row>
    <row r="12" spans="2:12" s="7" customFormat="1" ht="19.149999999999999" customHeight="1">
      <c r="B12" s="14" t="s">
        <v>103</v>
      </c>
      <c r="C12" s="89">
        <f>(55*I3)+(I15*I4)</f>
        <v>55</v>
      </c>
      <c r="D12" s="89">
        <f>(70*I3)+(I15*I4)</f>
        <v>70</v>
      </c>
      <c r="E12" s="89" t="s">
        <v>50</v>
      </c>
      <c r="G12" s="117" t="s">
        <v>372</v>
      </c>
      <c r="H12" s="88">
        <v>26</v>
      </c>
      <c r="I12" s="17">
        <v>0</v>
      </c>
      <c r="J12" s="18">
        <f t="shared" si="0"/>
        <v>0</v>
      </c>
      <c r="K12" s="47" t="s">
        <v>129</v>
      </c>
    </row>
    <row r="13" spans="2:12" s="7" customFormat="1" ht="19.149999999999999" customHeight="1">
      <c r="B13" s="14" t="s">
        <v>104</v>
      </c>
      <c r="C13" s="89">
        <f>(55*I3)+(I15*I4)</f>
        <v>55</v>
      </c>
      <c r="D13" s="89">
        <f>(70*I3)+(I15*I4)</f>
        <v>70</v>
      </c>
      <c r="E13" s="89" t="s">
        <v>50</v>
      </c>
      <c r="G13" s="117" t="s">
        <v>373</v>
      </c>
      <c r="H13" s="88">
        <v>26</v>
      </c>
      <c r="I13" s="17">
        <v>0</v>
      </c>
      <c r="J13" s="18">
        <f t="shared" si="0"/>
        <v>0</v>
      </c>
      <c r="K13" s="47" t="s">
        <v>129</v>
      </c>
    </row>
    <row r="14" spans="2:12" s="7" customFormat="1" ht="19.149999999999999" customHeight="1" thickBot="1">
      <c r="B14" s="14" t="s">
        <v>106</v>
      </c>
      <c r="C14" s="89">
        <f>(80*I3)+(I15*I4)</f>
        <v>80</v>
      </c>
      <c r="D14" s="89">
        <f>(95*I3)+(I15*I4)</f>
        <v>95</v>
      </c>
      <c r="E14" s="89" t="s">
        <v>50</v>
      </c>
      <c r="H14" s="22"/>
      <c r="I14" s="22"/>
      <c r="J14" s="22"/>
    </row>
    <row r="15" spans="2:12" s="7" customFormat="1" ht="19.149999999999999" customHeight="1" thickTop="1">
      <c r="B15" s="14" t="s">
        <v>130</v>
      </c>
      <c r="C15" s="89">
        <f>(80*I3)+(I15*I4)</f>
        <v>80</v>
      </c>
      <c r="D15" s="89">
        <f>(95*I3)+(I15*I4)</f>
        <v>95</v>
      </c>
      <c r="E15" s="89" t="s">
        <v>50</v>
      </c>
      <c r="G15" s="29"/>
      <c r="H15" s="20" t="s">
        <v>69</v>
      </c>
      <c r="I15" s="206">
        <f>SUM(J8:J14)</f>
        <v>0</v>
      </c>
      <c r="J15" s="206"/>
    </row>
    <row r="16" spans="2:12" s="7" customFormat="1" ht="19.149999999999999" customHeight="1" thickBot="1">
      <c r="B16" s="19" t="s">
        <v>131</v>
      </c>
      <c r="C16" s="90">
        <f>(90*I3)+(I15*I4)</f>
        <v>90</v>
      </c>
      <c r="D16" s="90">
        <f>(105*I3)+(I15*I4)</f>
        <v>105</v>
      </c>
      <c r="E16" s="90" t="s">
        <v>50</v>
      </c>
    </row>
    <row r="17" spans="1:10" s="7" customFormat="1" ht="19.149999999999999" customHeight="1">
      <c r="B17" s="201" t="s">
        <v>132</v>
      </c>
      <c r="C17" s="201"/>
      <c r="D17" s="201"/>
      <c r="E17" s="201"/>
    </row>
    <row r="18" spans="1:10" s="7" customFormat="1" ht="19.149999999999999" customHeight="1">
      <c r="B18" s="201"/>
      <c r="C18" s="201"/>
      <c r="D18" s="201"/>
      <c r="E18" s="201"/>
    </row>
    <row r="19" spans="1:10" s="7" customFormat="1" ht="19.149999999999999" customHeight="1">
      <c r="B19" s="21"/>
      <c r="C19" s="21"/>
      <c r="D19" s="21"/>
      <c r="E19" s="21"/>
    </row>
    <row r="20" spans="1:10" s="7" customFormat="1" ht="19.149999999999999" customHeight="1">
      <c r="B20" s="196" t="s">
        <v>159</v>
      </c>
      <c r="C20" s="196"/>
      <c r="D20" s="196"/>
      <c r="E20" s="196"/>
      <c r="G20" s="196" t="s">
        <v>204</v>
      </c>
      <c r="H20" s="196"/>
      <c r="I20" s="196"/>
    </row>
    <row r="21" spans="1:10" s="7" customFormat="1" ht="19.149999999999999" customHeight="1">
      <c r="B21" s="196"/>
      <c r="C21" s="196"/>
      <c r="D21" s="196"/>
      <c r="E21" s="196"/>
      <c r="G21" s="196"/>
      <c r="H21" s="196"/>
      <c r="I21" s="196"/>
    </row>
    <row r="22" spans="1:10" s="7" customFormat="1" ht="19.149999999999999" customHeight="1">
      <c r="B22" s="257" t="s">
        <v>162</v>
      </c>
      <c r="C22" s="257"/>
      <c r="D22" s="257"/>
      <c r="E22" s="257"/>
      <c r="G22" s="257" t="s">
        <v>205</v>
      </c>
      <c r="H22" s="257"/>
      <c r="I22" s="257"/>
    </row>
    <row r="23" spans="1:10" s="7" customFormat="1" ht="45" customHeight="1">
      <c r="B23" s="67" t="s">
        <v>170</v>
      </c>
      <c r="C23" s="67" t="s">
        <v>156</v>
      </c>
      <c r="D23" s="67" t="s">
        <v>157</v>
      </c>
      <c r="E23" s="67" t="s">
        <v>158</v>
      </c>
      <c r="G23" s="67" t="s">
        <v>98</v>
      </c>
      <c r="H23" s="67" t="s">
        <v>156</v>
      </c>
      <c r="I23" s="67" t="s">
        <v>158</v>
      </c>
      <c r="J23" s="97"/>
    </row>
    <row r="24" spans="1:10" s="7" customFormat="1" ht="19.149999999999999" customHeight="1">
      <c r="B24" s="14" t="s">
        <v>163</v>
      </c>
      <c r="C24" s="89">
        <f>(65*I3)</f>
        <v>65</v>
      </c>
      <c r="D24" s="89">
        <f>(165*I3)</f>
        <v>165</v>
      </c>
      <c r="E24" s="89">
        <f>(225*I3)</f>
        <v>225</v>
      </c>
      <c r="G24" s="14" t="s">
        <v>100</v>
      </c>
      <c r="H24" s="89">
        <f>(35*I3)+(I15*I4)</f>
        <v>35</v>
      </c>
      <c r="I24" s="89">
        <f>(150*I3)+(I15*I4)</f>
        <v>150</v>
      </c>
    </row>
    <row r="25" spans="1:10" s="7" customFormat="1" ht="19.149999999999999" customHeight="1">
      <c r="B25" s="14" t="s">
        <v>199</v>
      </c>
      <c r="C25" s="89">
        <f>(95*I3)</f>
        <v>95</v>
      </c>
      <c r="D25" s="89">
        <f>(225*I3)</f>
        <v>225</v>
      </c>
      <c r="E25" s="89">
        <f>(325*I3)</f>
        <v>325</v>
      </c>
      <c r="G25" s="14" t="s">
        <v>102</v>
      </c>
      <c r="H25" s="89">
        <f>(35*I3)+(I15*I4)</f>
        <v>35</v>
      </c>
      <c r="I25" s="89">
        <f>(150*I3)+(I15*I4)</f>
        <v>150</v>
      </c>
    </row>
    <row r="26" spans="1:10" s="7" customFormat="1" ht="19.149999999999999" customHeight="1" thickBot="1">
      <c r="B26" s="14" t="s">
        <v>56</v>
      </c>
      <c r="C26" s="89">
        <f>(95*I3)</f>
        <v>95</v>
      </c>
      <c r="D26" s="89">
        <f>(225*I3)</f>
        <v>225</v>
      </c>
      <c r="E26" s="89">
        <f>(325*I3)</f>
        <v>325</v>
      </c>
      <c r="G26" s="19" t="s">
        <v>104</v>
      </c>
      <c r="H26" s="90">
        <f>(40*I3)+(I15*I4)</f>
        <v>40</v>
      </c>
      <c r="I26" s="90">
        <f>(175*I3)+(I15*I4)</f>
        <v>175</v>
      </c>
    </row>
    <row r="27" spans="1:10" s="7" customFormat="1" ht="19.149999999999999" customHeight="1" thickBot="1">
      <c r="B27" s="19" t="s">
        <v>58</v>
      </c>
      <c r="C27" s="90">
        <f>(95*I3)</f>
        <v>95</v>
      </c>
      <c r="D27" s="90">
        <f>(225*I3)</f>
        <v>225</v>
      </c>
      <c r="E27" s="90">
        <f>(325*I3)</f>
        <v>325</v>
      </c>
      <c r="G27" s="200" t="s">
        <v>169</v>
      </c>
      <c r="H27" s="200"/>
      <c r="I27" s="200"/>
    </row>
    <row r="28" spans="1:10" s="7" customFormat="1" ht="19.149999999999999" customHeight="1">
      <c r="B28" s="200" t="s">
        <v>169</v>
      </c>
      <c r="C28" s="200"/>
      <c r="D28" s="200"/>
      <c r="E28" s="200"/>
      <c r="G28" s="201"/>
      <c r="H28" s="201"/>
      <c r="I28" s="201"/>
    </row>
    <row r="29" spans="1:10" s="7" customFormat="1" ht="19.149999999999999" customHeight="1">
      <c r="A29" s="25"/>
      <c r="B29" s="201"/>
      <c r="C29" s="201"/>
      <c r="D29" s="201"/>
      <c r="E29" s="201"/>
      <c r="G29" s="21"/>
      <c r="H29" s="21"/>
      <c r="I29" s="21"/>
    </row>
    <row r="30" spans="1:10" s="7" customFormat="1" ht="19.149999999999999" customHeight="1">
      <c r="B30" s="25"/>
      <c r="C30" s="25"/>
      <c r="D30" s="25"/>
      <c r="E30" s="25"/>
      <c r="G30" s="25"/>
      <c r="H30" s="25"/>
      <c r="I30" s="25"/>
    </row>
    <row r="31" spans="1:10" s="7" customFormat="1" ht="19.149999999999999" customHeight="1">
      <c r="B31" s="196" t="s">
        <v>159</v>
      </c>
      <c r="C31" s="196"/>
      <c r="D31" s="196"/>
      <c r="E31" s="196"/>
      <c r="G31" s="196" t="s">
        <v>206</v>
      </c>
      <c r="H31" s="196"/>
      <c r="I31" s="196"/>
    </row>
    <row r="32" spans="1:10" s="7" customFormat="1" ht="19.149999999999999" customHeight="1">
      <c r="B32" s="196"/>
      <c r="C32" s="196"/>
      <c r="D32" s="196"/>
      <c r="E32" s="196"/>
      <c r="G32" s="196"/>
      <c r="H32" s="196"/>
      <c r="I32" s="196"/>
    </row>
    <row r="33" spans="1:10" s="7" customFormat="1" ht="19.149999999999999" customHeight="1">
      <c r="B33" s="257" t="s">
        <v>160</v>
      </c>
      <c r="C33" s="257"/>
      <c r="D33" s="257"/>
      <c r="E33" s="257"/>
      <c r="G33" s="257" t="s">
        <v>207</v>
      </c>
      <c r="H33" s="257"/>
      <c r="I33" s="257"/>
    </row>
    <row r="34" spans="1:10" s="7" customFormat="1" ht="45" customHeight="1">
      <c r="B34" s="67" t="s">
        <v>171</v>
      </c>
      <c r="C34" s="67" t="s">
        <v>156</v>
      </c>
      <c r="D34" s="67" t="s">
        <v>157</v>
      </c>
      <c r="E34" s="67" t="s">
        <v>158</v>
      </c>
      <c r="G34" s="67" t="s">
        <v>98</v>
      </c>
      <c r="H34" s="67" t="s">
        <v>156</v>
      </c>
      <c r="I34" s="67" t="s">
        <v>158</v>
      </c>
      <c r="J34" s="97"/>
    </row>
    <row r="35" spans="1:10" s="7" customFormat="1" ht="19.149999999999999" customHeight="1">
      <c r="B35" s="14" t="s">
        <v>164</v>
      </c>
      <c r="C35" s="258">
        <f>(65*I3)</f>
        <v>65</v>
      </c>
      <c r="D35" s="258">
        <f>(165*I3)</f>
        <v>165</v>
      </c>
      <c r="E35" s="258">
        <f>(225*I3)</f>
        <v>225</v>
      </c>
      <c r="G35" s="14" t="s">
        <v>102</v>
      </c>
      <c r="H35" s="89">
        <f>(30*I3)+(I15*I4)</f>
        <v>30</v>
      </c>
      <c r="I35" s="89">
        <f>(125*I3)+(I15*I4)</f>
        <v>125</v>
      </c>
    </row>
    <row r="36" spans="1:10" s="7" customFormat="1" ht="19.149999999999999" customHeight="1" thickBot="1">
      <c r="B36" s="98" t="s">
        <v>161</v>
      </c>
      <c r="C36" s="259"/>
      <c r="D36" s="259"/>
      <c r="E36" s="259"/>
      <c r="G36" s="19" t="s">
        <v>104</v>
      </c>
      <c r="H36" s="90">
        <f>(35*I3)+(I15*I4)</f>
        <v>35</v>
      </c>
      <c r="I36" s="90">
        <f>(150*I3)+(I15*I4)</f>
        <v>150</v>
      </c>
    </row>
    <row r="37" spans="1:10" s="7" customFormat="1" ht="19.149999999999999" customHeight="1">
      <c r="B37" s="99" t="s">
        <v>166</v>
      </c>
      <c r="C37" s="260">
        <f>(95*I3)</f>
        <v>95</v>
      </c>
      <c r="D37" s="260">
        <f>(225*I3)</f>
        <v>225</v>
      </c>
      <c r="E37" s="260">
        <f>(325*I3)</f>
        <v>325</v>
      </c>
      <c r="G37" s="200" t="s">
        <v>169</v>
      </c>
      <c r="H37" s="200"/>
      <c r="I37" s="200"/>
    </row>
    <row r="38" spans="1:10" s="7" customFormat="1" ht="19.149999999999999" customHeight="1">
      <c r="B38" s="98" t="s">
        <v>165</v>
      </c>
      <c r="C38" s="259"/>
      <c r="D38" s="259"/>
      <c r="E38" s="259"/>
      <c r="G38" s="201"/>
      <c r="H38" s="201"/>
      <c r="I38" s="201"/>
    </row>
    <row r="39" spans="1:10" s="7" customFormat="1" ht="19.149999999999999" customHeight="1">
      <c r="B39" s="14" t="s">
        <v>167</v>
      </c>
      <c r="C39" s="260">
        <f>(105*I3)</f>
        <v>105</v>
      </c>
      <c r="D39" s="260">
        <f>(255*I3)</f>
        <v>255</v>
      </c>
      <c r="E39" s="260">
        <f>(375*I3)</f>
        <v>375</v>
      </c>
    </row>
    <row r="40" spans="1:10" s="7" customFormat="1" ht="19.149999999999999" customHeight="1" thickBot="1">
      <c r="B40" s="19" t="s">
        <v>168</v>
      </c>
      <c r="C40" s="261"/>
      <c r="D40" s="261"/>
      <c r="E40" s="261"/>
    </row>
    <row r="41" spans="1:10" s="7" customFormat="1" ht="19.149999999999999" customHeight="1">
      <c r="B41" s="200" t="s">
        <v>169</v>
      </c>
      <c r="C41" s="200"/>
      <c r="D41" s="200"/>
      <c r="E41" s="200"/>
    </row>
    <row r="42" spans="1:10" s="7" customFormat="1" ht="19.149999999999999" customHeight="1">
      <c r="A42" s="25"/>
      <c r="B42" s="201"/>
      <c r="C42" s="201"/>
      <c r="D42" s="201"/>
      <c r="E42" s="201"/>
    </row>
    <row r="43" spans="1:10" s="7" customFormat="1" ht="19.149999999999999" customHeight="1">
      <c r="G43" s="25"/>
      <c r="H43" s="25"/>
      <c r="I43" s="25"/>
    </row>
  </sheetData>
  <sheetProtection algorithmName="SHA-512" hashValue="n5bM/c8l3XTrgFAChypyuAiNP28nI2b4ue3MjmXFo9qzSVDApv8oxT0u4V8ZMT87nRXMNe8N3hjhvzszdJf9EA==" saltValue="4lrp6lzt9bC5yXMclkmMKw==" spinCount="100000" sheet="1" objects="1" scenarios="1"/>
  <mergeCells count="26">
    <mergeCell ref="K3:K4"/>
    <mergeCell ref="I15:J15"/>
    <mergeCell ref="B17:E18"/>
    <mergeCell ref="B2:E3"/>
    <mergeCell ref="B4:E5"/>
    <mergeCell ref="B41:E42"/>
    <mergeCell ref="B22:E22"/>
    <mergeCell ref="B20:E21"/>
    <mergeCell ref="B31:E32"/>
    <mergeCell ref="B33:E33"/>
    <mergeCell ref="C35:C36"/>
    <mergeCell ref="D35:D36"/>
    <mergeCell ref="E35:E36"/>
    <mergeCell ref="C37:C38"/>
    <mergeCell ref="D37:D38"/>
    <mergeCell ref="E37:E38"/>
    <mergeCell ref="C39:C40"/>
    <mergeCell ref="D39:D40"/>
    <mergeCell ref="E39:E40"/>
    <mergeCell ref="B28:E29"/>
    <mergeCell ref="G37:I38"/>
    <mergeCell ref="G20:I21"/>
    <mergeCell ref="G22:I22"/>
    <mergeCell ref="G27:I28"/>
    <mergeCell ref="G31:I32"/>
    <mergeCell ref="G33:I33"/>
  </mergeCells>
  <printOptions horizontalCentered="1"/>
  <pageMargins left="0.25" right="0.25" top="0.75" bottom="0.75" header="0.3" footer="0.3"/>
  <pageSetup paperSize="9" scale="54"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38B0-11D4-449F-B48F-725AE4450AC9}">
  <sheetPr codeName="Sheet13">
    <pageSetUpPr fitToPage="1"/>
  </sheetPr>
  <dimension ref="A2:O25"/>
  <sheetViews>
    <sheetView showGridLines="0" zoomScaleNormal="100" workbookViewId="0"/>
  </sheetViews>
  <sheetFormatPr defaultColWidth="9.265625" defaultRowHeight="14.25"/>
  <cols>
    <col min="1" max="1" width="3.86328125" style="25" customWidth="1"/>
    <col min="2" max="2" width="29.73046875" style="25" bestFit="1" customWidth="1"/>
    <col min="3" max="4" width="13.73046875" style="25" customWidth="1"/>
    <col min="5" max="5" width="3.86328125" style="25" customWidth="1"/>
    <col min="6" max="6" width="30.1328125" style="25" bestFit="1" customWidth="1"/>
    <col min="7" max="7" width="9.265625" style="25" customWidth="1"/>
    <col min="8" max="8" width="10.73046875" style="25" customWidth="1"/>
    <col min="9" max="9" width="9.265625" style="25"/>
    <col min="10" max="10" width="10.265625" style="25" customWidth="1"/>
    <col min="11" max="16384" width="9.265625" style="25"/>
  </cols>
  <sheetData>
    <row r="2" spans="1:15" s="7" customFormat="1" ht="19.149999999999999" customHeight="1" thickBot="1">
      <c r="B2" s="196" t="s">
        <v>232</v>
      </c>
      <c r="C2" s="196"/>
      <c r="D2" s="196"/>
      <c r="F2" s="103" t="s">
        <v>209</v>
      </c>
      <c r="G2" s="32"/>
      <c r="H2" s="11"/>
      <c r="I2" s="11"/>
    </row>
    <row r="3" spans="1:15" s="7" customFormat="1" ht="19.149999999999999" customHeight="1">
      <c r="B3" s="196"/>
      <c r="C3" s="196"/>
      <c r="D3" s="196"/>
      <c r="F3" s="112" t="s">
        <v>26</v>
      </c>
      <c r="G3" s="112"/>
      <c r="H3" s="123">
        <v>1</v>
      </c>
      <c r="I3" s="16" t="s">
        <v>27</v>
      </c>
      <c r="J3" s="198" t="s">
        <v>28</v>
      </c>
    </row>
    <row r="4" spans="1:15" s="9" customFormat="1" ht="13.9" customHeight="1">
      <c r="A4" s="7"/>
      <c r="B4" s="197" t="s">
        <v>133</v>
      </c>
      <c r="C4" s="197"/>
      <c r="D4" s="197"/>
      <c r="E4" s="7"/>
      <c r="F4" s="35" t="s">
        <v>30</v>
      </c>
      <c r="G4" s="35"/>
      <c r="H4" s="123">
        <v>1</v>
      </c>
      <c r="I4" s="16" t="s">
        <v>27</v>
      </c>
      <c r="J4" s="198"/>
    </row>
    <row r="5" spans="1:15" s="7" customFormat="1" ht="19.149999999999999" customHeight="1">
      <c r="B5" s="197"/>
      <c r="C5" s="197"/>
      <c r="D5" s="197"/>
      <c r="F5" s="35"/>
      <c r="G5" s="35"/>
      <c r="H5" s="81"/>
      <c r="I5" s="16"/>
      <c r="J5" s="198"/>
    </row>
    <row r="6" spans="1:15" s="7" customFormat="1" ht="19.149999999999999" customHeight="1">
      <c r="B6" s="197"/>
      <c r="C6" s="197"/>
      <c r="D6" s="197"/>
      <c r="F6" s="35"/>
      <c r="G6" s="35"/>
      <c r="H6" s="81"/>
      <c r="I6" s="16"/>
      <c r="J6" s="49"/>
      <c r="N6" s="9"/>
      <c r="O6" s="9"/>
    </row>
    <row r="7" spans="1:15" s="7" customFormat="1" ht="38.65" customHeight="1">
      <c r="A7" s="9"/>
      <c r="B7" s="8"/>
      <c r="C7" s="8"/>
      <c r="D7" s="8"/>
      <c r="E7" s="9"/>
      <c r="F7" s="9"/>
      <c r="G7" s="9"/>
      <c r="H7" s="9"/>
      <c r="I7" s="9"/>
      <c r="J7" s="9"/>
    </row>
    <row r="8" spans="1:15" s="7" customFormat="1" ht="19.149999999999999" customHeight="1">
      <c r="C8" s="204" t="s">
        <v>243</v>
      </c>
      <c r="D8" s="204"/>
    </row>
    <row r="9" spans="1:15" s="7" customFormat="1" ht="19.149999999999999" customHeight="1" thickBot="1">
      <c r="B9" s="55" t="s">
        <v>229</v>
      </c>
      <c r="C9" s="55" t="s">
        <v>236</v>
      </c>
      <c r="D9" s="55" t="s">
        <v>235</v>
      </c>
      <c r="F9" s="103" t="s">
        <v>47</v>
      </c>
      <c r="G9" s="32"/>
      <c r="H9" s="106" t="s">
        <v>48</v>
      </c>
      <c r="I9" s="107" t="s">
        <v>49</v>
      </c>
      <c r="N9" s="29"/>
    </row>
    <row r="10" spans="1:15" s="7" customFormat="1" ht="19.149999999999999" customHeight="1">
      <c r="B10" s="120" t="s">
        <v>244</v>
      </c>
      <c r="C10" s="62">
        <f>(30*H3)+(H21*H4)</f>
        <v>30</v>
      </c>
      <c r="D10" s="62">
        <f>(40*H3)+(H21*H4)</f>
        <v>40</v>
      </c>
      <c r="E10" s="26"/>
      <c r="F10" s="110" t="s">
        <v>258</v>
      </c>
      <c r="G10" s="124">
        <v>25</v>
      </c>
      <c r="H10" s="125">
        <v>0</v>
      </c>
      <c r="I10" s="124">
        <f t="shared" ref="I10:I17" si="0">G10*H10</f>
        <v>0</v>
      </c>
    </row>
    <row r="11" spans="1:15" s="7" customFormat="1" ht="19.149999999999999" customHeight="1">
      <c r="A11" s="26"/>
      <c r="B11" s="120" t="s">
        <v>245</v>
      </c>
      <c r="C11" s="62">
        <f>(35*H3)+(H21*H4)</f>
        <v>35</v>
      </c>
      <c r="D11" s="62">
        <f>(45*H3)+(H21*H4)</f>
        <v>45</v>
      </c>
      <c r="F11" s="108" t="s">
        <v>62</v>
      </c>
      <c r="G11" s="124">
        <v>18</v>
      </c>
      <c r="H11" s="125">
        <v>0</v>
      </c>
      <c r="I11" s="124">
        <f t="shared" si="0"/>
        <v>0</v>
      </c>
    </row>
    <row r="12" spans="1:15" s="29" customFormat="1" ht="19.149999999999999" customHeight="1">
      <c r="A12" s="7"/>
      <c r="B12" s="120" t="s">
        <v>246</v>
      </c>
      <c r="C12" s="62">
        <f>(40*H3)+(H21*H4)</f>
        <v>40</v>
      </c>
      <c r="D12" s="62">
        <f>(45*H3)+(H21*H4)</f>
        <v>45</v>
      </c>
      <c r="E12" s="7"/>
      <c r="F12" s="108" t="s">
        <v>254</v>
      </c>
      <c r="G12" s="18">
        <v>18</v>
      </c>
      <c r="H12" s="17">
        <v>0</v>
      </c>
      <c r="I12" s="18">
        <f t="shared" si="0"/>
        <v>0</v>
      </c>
      <c r="J12" s="7"/>
      <c r="N12" s="7"/>
      <c r="O12" s="7"/>
    </row>
    <row r="13" spans="1:15" s="7" customFormat="1" ht="19.149999999999999" customHeight="1">
      <c r="B13" s="120" t="s">
        <v>249</v>
      </c>
      <c r="C13" s="62">
        <f>(45*H3)+(H21*H4)</f>
        <v>45</v>
      </c>
      <c r="D13" s="62">
        <f>(50*H3)+(H21*H4)</f>
        <v>50</v>
      </c>
      <c r="F13" s="109" t="s">
        <v>255</v>
      </c>
      <c r="G13" s="18">
        <v>27</v>
      </c>
      <c r="H13" s="17">
        <v>0</v>
      </c>
      <c r="I13" s="18">
        <f t="shared" si="0"/>
        <v>0</v>
      </c>
    </row>
    <row r="14" spans="1:15" s="7" customFormat="1" ht="19.149999999999999" customHeight="1">
      <c r="B14" s="120" t="s">
        <v>247</v>
      </c>
      <c r="C14" s="62">
        <f>(40*H3)+(H21*H4)</f>
        <v>40</v>
      </c>
      <c r="D14" s="62">
        <f>(45*H3)+(H21*H4)</f>
        <v>45</v>
      </c>
      <c r="F14" s="109" t="s">
        <v>256</v>
      </c>
      <c r="G14" s="18">
        <v>32</v>
      </c>
      <c r="H14" s="17">
        <v>0</v>
      </c>
      <c r="I14" s="18">
        <f t="shared" si="0"/>
        <v>0</v>
      </c>
    </row>
    <row r="15" spans="1:15" s="7" customFormat="1" ht="19.149999999999999" customHeight="1">
      <c r="B15" s="120" t="s">
        <v>250</v>
      </c>
      <c r="C15" s="62">
        <f>(45*H3)+(H21*H4)</f>
        <v>45</v>
      </c>
      <c r="D15" s="62">
        <f>(50*H3)+(H21*H4)</f>
        <v>50</v>
      </c>
      <c r="F15" s="109" t="s">
        <v>257</v>
      </c>
      <c r="G15" s="18">
        <v>37</v>
      </c>
      <c r="H15" s="17">
        <v>0</v>
      </c>
      <c r="I15" s="18">
        <f t="shared" si="0"/>
        <v>0</v>
      </c>
    </row>
    <row r="16" spans="1:15" s="7" customFormat="1" ht="19.149999999999999" customHeight="1">
      <c r="B16" s="120" t="s">
        <v>248</v>
      </c>
      <c r="C16" s="62">
        <f>(45*H3)+(H21*H4)</f>
        <v>45</v>
      </c>
      <c r="D16" s="62">
        <f>(50*H3)+(H21*H4)</f>
        <v>50</v>
      </c>
      <c r="F16" s="109" t="s">
        <v>216</v>
      </c>
      <c r="G16" s="124">
        <v>18</v>
      </c>
      <c r="H16" s="125">
        <v>0</v>
      </c>
      <c r="I16" s="124">
        <f t="shared" si="0"/>
        <v>0</v>
      </c>
    </row>
    <row r="17" spans="1:15" s="7" customFormat="1" ht="19.149999999999999" customHeight="1" thickBot="1">
      <c r="B17" s="122" t="s">
        <v>251</v>
      </c>
      <c r="C17" s="69">
        <f>(50*H3)+(H21*H4)</f>
        <v>50</v>
      </c>
      <c r="D17" s="69">
        <f>(60*H3)+(H21*H4)</f>
        <v>60</v>
      </c>
      <c r="F17" s="110" t="s">
        <v>217</v>
      </c>
      <c r="G17" s="124">
        <v>35</v>
      </c>
      <c r="H17" s="125">
        <v>0</v>
      </c>
      <c r="I17" s="124">
        <f t="shared" si="0"/>
        <v>0</v>
      </c>
    </row>
    <row r="18" spans="1:15" s="7" customFormat="1" ht="19.149999999999999" customHeight="1">
      <c r="B18" s="201" t="s">
        <v>252</v>
      </c>
      <c r="C18" s="201"/>
      <c r="D18" s="201"/>
      <c r="F18" s="110" t="s">
        <v>218</v>
      </c>
      <c r="G18" s="124">
        <v>40</v>
      </c>
      <c r="H18" s="125">
        <v>0</v>
      </c>
      <c r="I18" s="124">
        <f>G18*H18</f>
        <v>0</v>
      </c>
    </row>
    <row r="19" spans="1:15" s="7" customFormat="1" ht="19.149999999999999" customHeight="1">
      <c r="B19" s="201"/>
      <c r="C19" s="201"/>
      <c r="D19" s="201"/>
      <c r="F19" s="110" t="s">
        <v>230</v>
      </c>
      <c r="G19" s="124">
        <v>15</v>
      </c>
      <c r="H19" s="125">
        <v>0</v>
      </c>
      <c r="I19" s="124">
        <f t="shared" ref="I19" si="1">G19*H19</f>
        <v>0</v>
      </c>
      <c r="O19" s="29"/>
    </row>
    <row r="20" spans="1:15" s="7" customFormat="1" ht="19.149999999999999" customHeight="1" thickBot="1">
      <c r="A20" s="25"/>
      <c r="B20" s="25"/>
      <c r="C20" s="25"/>
      <c r="D20" s="25"/>
      <c r="E20" s="25"/>
      <c r="F20" s="111"/>
      <c r="G20" s="22"/>
      <c r="H20" s="22"/>
      <c r="I20" s="22"/>
      <c r="K20" s="25"/>
    </row>
    <row r="21" spans="1:15" s="7" customFormat="1" ht="19.149999999999999" customHeight="1" thickTop="1">
      <c r="A21" s="25"/>
      <c r="B21" s="25"/>
      <c r="C21" s="25"/>
      <c r="D21" s="25"/>
      <c r="E21" s="25"/>
      <c r="F21" s="23"/>
      <c r="G21" s="20" t="s">
        <v>69</v>
      </c>
      <c r="H21" s="206">
        <f>SUM(I10:I20)</f>
        <v>0</v>
      </c>
      <c r="I21" s="206"/>
      <c r="K21" s="25"/>
      <c r="L21" s="25"/>
    </row>
    <row r="22" spans="1:15" s="7" customFormat="1" ht="19.149999999999999" customHeight="1">
      <c r="A22" s="25"/>
      <c r="B22" s="25"/>
      <c r="C22" s="25"/>
      <c r="D22" s="25"/>
      <c r="E22" s="25"/>
      <c r="K22" s="25"/>
      <c r="L22" s="25"/>
      <c r="M22" s="25"/>
      <c r="N22" s="25"/>
    </row>
    <row r="23" spans="1:15" s="7" customFormat="1" ht="19.149999999999999" customHeight="1">
      <c r="A23" s="25"/>
      <c r="B23" s="25"/>
      <c r="C23" s="25"/>
      <c r="D23" s="25"/>
      <c r="E23" s="25"/>
      <c r="K23" s="25"/>
      <c r="L23" s="25"/>
      <c r="M23" s="25"/>
      <c r="N23" s="25"/>
    </row>
    <row r="24" spans="1:15" s="7" customFormat="1" ht="19.149999999999999" customHeight="1">
      <c r="A24" s="25"/>
      <c r="B24" s="25"/>
      <c r="C24" s="25"/>
      <c r="D24" s="25"/>
      <c r="E24" s="25"/>
      <c r="K24" s="25"/>
      <c r="L24" s="25"/>
      <c r="M24" s="25"/>
      <c r="N24" s="25"/>
    </row>
    <row r="25" spans="1:15" ht="19.149999999999999" customHeight="1">
      <c r="G25" s="7"/>
      <c r="O25" s="7"/>
    </row>
  </sheetData>
  <sheetProtection algorithmName="SHA-512" hashValue="NmvJ1tf8FAH74Iyjrfmhc3h6rTQm6jIsdWp+4gx33HS/bMXceqMEY0G49T2yAnDjx6Kc2d/hLJJCPX5C3SrhRA==" saltValue="YkGeimzbP+X1YgQSeUSvcg==" spinCount="100000" sheet="1" objects="1" scenarios="1"/>
  <mergeCells count="6">
    <mergeCell ref="B2:D3"/>
    <mergeCell ref="J3:J5"/>
    <mergeCell ref="B4:D6"/>
    <mergeCell ref="C8:D8"/>
    <mergeCell ref="H21:I21"/>
    <mergeCell ref="B18:D19"/>
  </mergeCells>
  <printOptions horizontalCentered="1"/>
  <pageMargins left="0.25" right="0.25" top="0.75" bottom="0.75" header="0.3" footer="0.3"/>
  <pageSetup paperSize="9" orientation="landscape" horizontalDpi="203" verticalDpi="203"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9BDA-FE78-4919-AA31-BF3421054B93}">
  <dimension ref="A2:K43"/>
  <sheetViews>
    <sheetView showGridLines="0" workbookViewId="0"/>
  </sheetViews>
  <sheetFormatPr defaultColWidth="9.265625" defaultRowHeight="14.25"/>
  <cols>
    <col min="1" max="1" width="3.86328125" style="25" customWidth="1"/>
    <col min="2" max="2" width="25.1328125" style="25" customWidth="1"/>
    <col min="3" max="4" width="14.59765625" style="25" customWidth="1"/>
    <col min="5" max="5" width="3.86328125" style="25" customWidth="1"/>
    <col min="6" max="6" width="30.1328125" style="25" bestFit="1" customWidth="1"/>
    <col min="7" max="7" width="8.59765625" style="25" bestFit="1" customWidth="1"/>
    <col min="8" max="8" width="10.265625" style="25" customWidth="1"/>
    <col min="9" max="16384" width="9.265625" style="25"/>
  </cols>
  <sheetData>
    <row r="2" spans="2:11" s="7" customFormat="1" ht="19.350000000000001" customHeight="1" thickBot="1">
      <c r="B2" s="196" t="s">
        <v>231</v>
      </c>
      <c r="C2" s="196"/>
      <c r="D2" s="196"/>
      <c r="F2" s="103" t="s">
        <v>209</v>
      </c>
      <c r="G2" s="32"/>
      <c r="H2" s="11"/>
      <c r="I2" s="11"/>
    </row>
    <row r="3" spans="2:11" s="7" customFormat="1" ht="19.350000000000001" customHeight="1">
      <c r="B3" s="196"/>
      <c r="C3" s="196"/>
      <c r="D3" s="196"/>
      <c r="F3" s="112" t="s">
        <v>26</v>
      </c>
      <c r="G3" s="112"/>
      <c r="H3" s="123">
        <v>1</v>
      </c>
      <c r="I3" s="16" t="s">
        <v>27</v>
      </c>
      <c r="J3" s="198" t="s">
        <v>28</v>
      </c>
    </row>
    <row r="4" spans="2:11" s="7" customFormat="1" ht="19.350000000000001" customHeight="1">
      <c r="B4" s="197" t="s">
        <v>233</v>
      </c>
      <c r="C4" s="197"/>
      <c r="D4" s="197"/>
      <c r="F4" s="35" t="s">
        <v>30</v>
      </c>
      <c r="G4" s="35"/>
      <c r="H4" s="123">
        <v>1</v>
      </c>
      <c r="I4" s="16" t="s">
        <v>27</v>
      </c>
      <c r="J4" s="198"/>
      <c r="K4" s="26"/>
    </row>
    <row r="5" spans="2:11" s="7" customFormat="1" ht="19.350000000000001" customHeight="1">
      <c r="B5" s="197"/>
      <c r="C5" s="197"/>
      <c r="D5" s="197"/>
      <c r="F5" s="35"/>
      <c r="G5" s="35"/>
      <c r="H5" s="81"/>
      <c r="I5" s="16"/>
      <c r="J5" s="198"/>
    </row>
    <row r="6" spans="2:11" s="7" customFormat="1" ht="19.350000000000001" customHeight="1">
      <c r="B6" s="197"/>
      <c r="C6" s="197"/>
      <c r="D6" s="197"/>
      <c r="F6" s="35"/>
      <c r="G6" s="35"/>
      <c r="H6" s="81"/>
      <c r="I6" s="16"/>
      <c r="J6" s="49"/>
    </row>
    <row r="7" spans="2:11" s="9" customFormat="1" ht="35.1" customHeight="1">
      <c r="B7" s="8"/>
      <c r="C7" s="8"/>
      <c r="D7" s="8"/>
    </row>
    <row r="8" spans="2:11" s="7" customFormat="1" ht="19.350000000000001" customHeight="1">
      <c r="C8" s="204" t="s">
        <v>243</v>
      </c>
      <c r="D8" s="204"/>
    </row>
    <row r="9" spans="2:11" s="7" customFormat="1" ht="21.75" customHeight="1" thickBot="1">
      <c r="B9" s="55" t="s">
        <v>229</v>
      </c>
      <c r="C9" s="55" t="s">
        <v>236</v>
      </c>
      <c r="D9" s="55" t="s">
        <v>235</v>
      </c>
      <c r="F9" s="103" t="s">
        <v>47</v>
      </c>
      <c r="G9" s="32"/>
      <c r="H9" s="106" t="s">
        <v>48</v>
      </c>
      <c r="I9" s="107" t="s">
        <v>49</v>
      </c>
    </row>
    <row r="10" spans="2:11" s="7" customFormat="1" ht="26.1" customHeight="1">
      <c r="B10" s="120" t="s">
        <v>221</v>
      </c>
      <c r="C10" s="62">
        <f>(25*H3)+(H21*H4)</f>
        <v>25</v>
      </c>
      <c r="D10" s="62">
        <f>(30*$H$3)+($H$21*$H$4)</f>
        <v>30</v>
      </c>
      <c r="E10" s="26"/>
      <c r="F10" s="110" t="s">
        <v>258</v>
      </c>
      <c r="G10" s="124">
        <v>25</v>
      </c>
      <c r="H10" s="125">
        <v>0</v>
      </c>
      <c r="I10" s="124">
        <f t="shared" ref="I10:I17" si="0">G10*H10</f>
        <v>0</v>
      </c>
    </row>
    <row r="11" spans="2:11" s="26" customFormat="1" ht="19.350000000000001" customHeight="1">
      <c r="B11" s="120" t="s">
        <v>220</v>
      </c>
      <c r="C11" s="62">
        <f>(110*H3)+(H21*H4)</f>
        <v>110</v>
      </c>
      <c r="D11" s="62">
        <f>(135*$H$3)+($H$21*$H$4)</f>
        <v>135</v>
      </c>
      <c r="E11" s="7"/>
      <c r="F11" s="108" t="s">
        <v>62</v>
      </c>
      <c r="G11" s="124">
        <v>18</v>
      </c>
      <c r="H11" s="125">
        <v>0</v>
      </c>
      <c r="I11" s="124">
        <f t="shared" si="0"/>
        <v>0</v>
      </c>
      <c r="J11" s="7"/>
      <c r="K11" s="7"/>
    </row>
    <row r="12" spans="2:11" s="7" customFormat="1" ht="19.350000000000001" customHeight="1">
      <c r="B12" s="121" t="s">
        <v>222</v>
      </c>
      <c r="C12" s="62">
        <f>(190*H3)+(H21*H4)</f>
        <v>190</v>
      </c>
      <c r="D12" s="62">
        <f>(240*$H$3)+($H$21*$H$4)</f>
        <v>240</v>
      </c>
      <c r="F12" s="108" t="s">
        <v>254</v>
      </c>
      <c r="G12" s="18">
        <v>18</v>
      </c>
      <c r="H12" s="17">
        <v>0</v>
      </c>
      <c r="I12" s="18">
        <f t="shared" si="0"/>
        <v>0</v>
      </c>
    </row>
    <row r="13" spans="2:11" s="7" customFormat="1" ht="19.350000000000001" customHeight="1">
      <c r="B13" s="120" t="s">
        <v>223</v>
      </c>
      <c r="C13" s="62">
        <f>(30*H3)+(H21*H4)</f>
        <v>30</v>
      </c>
      <c r="D13" s="62">
        <f>(35*$H$3)+($H$21*$H$4)</f>
        <v>35</v>
      </c>
      <c r="F13" s="109" t="s">
        <v>255</v>
      </c>
      <c r="G13" s="18">
        <v>27</v>
      </c>
      <c r="H13" s="17">
        <v>0</v>
      </c>
      <c r="I13" s="18">
        <f t="shared" si="0"/>
        <v>0</v>
      </c>
    </row>
    <row r="14" spans="2:11" s="7" customFormat="1" ht="19.350000000000001" customHeight="1">
      <c r="B14" s="120" t="s">
        <v>224</v>
      </c>
      <c r="C14" s="62">
        <f>(130*H3)+(H21*H4)</f>
        <v>130</v>
      </c>
      <c r="D14" s="62">
        <f>(155*$H$3)+($H$21*$H$4)</f>
        <v>155</v>
      </c>
      <c r="F14" s="109" t="s">
        <v>256</v>
      </c>
      <c r="G14" s="18">
        <v>32</v>
      </c>
      <c r="H14" s="17">
        <v>0</v>
      </c>
      <c r="I14" s="18">
        <f t="shared" si="0"/>
        <v>0</v>
      </c>
    </row>
    <row r="15" spans="2:11" s="7" customFormat="1" ht="19.350000000000001" customHeight="1">
      <c r="B15" s="121" t="s">
        <v>225</v>
      </c>
      <c r="C15" s="62">
        <f>(240*H3)+(H21*H4)</f>
        <v>240</v>
      </c>
      <c r="D15" s="62">
        <f>(290*$H$3)+($H$21*$H$4)</f>
        <v>290</v>
      </c>
      <c r="F15" s="109" t="s">
        <v>257</v>
      </c>
      <c r="G15" s="18">
        <v>37</v>
      </c>
      <c r="H15" s="17">
        <v>0</v>
      </c>
      <c r="I15" s="18">
        <f t="shared" si="0"/>
        <v>0</v>
      </c>
    </row>
    <row r="16" spans="2:11" s="7" customFormat="1" ht="19.350000000000001" customHeight="1">
      <c r="B16" s="120" t="s">
        <v>237</v>
      </c>
      <c r="C16" s="62">
        <f>(30*H3)+(H21*H4)</f>
        <v>30</v>
      </c>
      <c r="D16" s="62">
        <f>(35*$H$3)+($H$21*$H$4)</f>
        <v>35</v>
      </c>
      <c r="F16" s="109" t="s">
        <v>216</v>
      </c>
      <c r="G16" s="124">
        <v>18</v>
      </c>
      <c r="H16" s="125">
        <v>0</v>
      </c>
      <c r="I16" s="124">
        <f t="shared" si="0"/>
        <v>0</v>
      </c>
    </row>
    <row r="17" spans="2:9" s="7" customFormat="1" ht="19.350000000000001" customHeight="1">
      <c r="B17" s="120" t="s">
        <v>238</v>
      </c>
      <c r="C17" s="62">
        <f>(130*H3)+(H21*H4)</f>
        <v>130</v>
      </c>
      <c r="D17" s="62">
        <f>(155*$H$3)+($H$21*$H$4)</f>
        <v>155</v>
      </c>
      <c r="F17" s="110" t="s">
        <v>217</v>
      </c>
      <c r="G17" s="124">
        <v>35</v>
      </c>
      <c r="H17" s="125">
        <v>0</v>
      </c>
      <c r="I17" s="124">
        <f t="shared" si="0"/>
        <v>0</v>
      </c>
    </row>
    <row r="18" spans="2:9" s="7" customFormat="1" ht="19.350000000000001" customHeight="1">
      <c r="B18" s="121" t="s">
        <v>239</v>
      </c>
      <c r="C18" s="62">
        <f>(240*H3)+(H21*H4)</f>
        <v>240</v>
      </c>
      <c r="D18" s="62">
        <f>(290*$H$3)+($H$21*$H$4)</f>
        <v>290</v>
      </c>
      <c r="F18" s="110" t="s">
        <v>218</v>
      </c>
      <c r="G18" s="124">
        <v>40</v>
      </c>
      <c r="H18" s="125">
        <v>0</v>
      </c>
      <c r="I18" s="124">
        <f>G18*H18</f>
        <v>0</v>
      </c>
    </row>
    <row r="19" spans="2:9" s="7" customFormat="1" ht="19.350000000000001" customHeight="1">
      <c r="B19" s="120" t="s">
        <v>240</v>
      </c>
      <c r="C19" s="62">
        <f>(35*H3)+(H21*H4)</f>
        <v>35</v>
      </c>
      <c r="D19" s="62">
        <f>(40*$H$3)+($H$21*$H$4)</f>
        <v>40</v>
      </c>
      <c r="F19" s="110" t="s">
        <v>230</v>
      </c>
      <c r="G19" s="124">
        <v>15</v>
      </c>
      <c r="H19" s="125">
        <v>0</v>
      </c>
      <c r="I19" s="124">
        <f t="shared" ref="I19" si="1">G19*H19</f>
        <v>0</v>
      </c>
    </row>
    <row r="20" spans="2:9" s="7" customFormat="1" ht="19.350000000000001" customHeight="1" thickBot="1">
      <c r="B20" s="120" t="s">
        <v>241</v>
      </c>
      <c r="C20" s="62">
        <f>(150*H3)+(H21*H4)</f>
        <v>150</v>
      </c>
      <c r="D20" s="62">
        <f>(175*$H$3)+($H$21*$H$4)</f>
        <v>175</v>
      </c>
      <c r="F20" s="111"/>
      <c r="G20" s="22"/>
      <c r="H20" s="22"/>
      <c r="I20" s="22"/>
    </row>
    <row r="21" spans="2:9" s="7" customFormat="1" ht="19.350000000000001" customHeight="1" thickTop="1" thickBot="1">
      <c r="B21" s="122" t="s">
        <v>242</v>
      </c>
      <c r="C21" s="69">
        <f>(280*H3)+(H21*H4)</f>
        <v>280</v>
      </c>
      <c r="D21" s="69">
        <f>(330*$H$3)+($H$21*$H$4)</f>
        <v>330</v>
      </c>
      <c r="F21" s="23"/>
      <c r="G21" s="20" t="s">
        <v>69</v>
      </c>
      <c r="H21" s="206">
        <f>SUM(I10:I20)</f>
        <v>0</v>
      </c>
      <c r="I21" s="206"/>
    </row>
    <row r="22" spans="2:9" s="7" customFormat="1" ht="19.350000000000001" customHeight="1">
      <c r="B22" s="201" t="s">
        <v>234</v>
      </c>
      <c r="C22" s="201"/>
      <c r="D22" s="201"/>
    </row>
    <row r="23" spans="2:9" s="7" customFormat="1" ht="19.350000000000001" customHeight="1">
      <c r="B23" s="201"/>
      <c r="C23" s="201"/>
      <c r="D23" s="201"/>
    </row>
    <row r="24" spans="2:9" s="7" customFormat="1" ht="19.350000000000001" customHeight="1"/>
    <row r="25" spans="2:9" s="7" customFormat="1" ht="19.350000000000001" customHeight="1">
      <c r="B25" s="197" t="s">
        <v>219</v>
      </c>
      <c r="C25" s="197"/>
      <c r="D25" s="197"/>
    </row>
    <row r="26" spans="2:9" s="7" customFormat="1" ht="19.350000000000001" customHeight="1">
      <c r="B26" s="197"/>
      <c r="C26" s="197"/>
      <c r="D26" s="197"/>
    </row>
    <row r="27" spans="2:9" s="7" customFormat="1" ht="19.350000000000001" customHeight="1">
      <c r="B27" s="197"/>
      <c r="C27" s="197"/>
      <c r="D27" s="197"/>
    </row>
    <row r="28" spans="2:9" s="7" customFormat="1" ht="19.350000000000001" customHeight="1">
      <c r="B28" s="25"/>
      <c r="C28" s="25"/>
    </row>
    <row r="29" spans="2:9" s="7" customFormat="1" ht="19.350000000000001" customHeight="1">
      <c r="B29" s="25"/>
      <c r="C29" s="25"/>
    </row>
    <row r="30" spans="2:9" s="7" customFormat="1" ht="19.350000000000001" customHeight="1">
      <c r="B30" s="25"/>
      <c r="C30" s="25"/>
    </row>
    <row r="31" spans="2:9" s="7" customFormat="1" ht="19.350000000000001" customHeight="1">
      <c r="B31" s="25"/>
      <c r="C31" s="25"/>
    </row>
    <row r="32" spans="2:9" s="7" customFormat="1" ht="19.350000000000001" customHeight="1">
      <c r="B32" s="25"/>
      <c r="C32" s="25"/>
    </row>
    <row r="33" spans="1:11" s="7" customFormat="1" ht="19.350000000000001" customHeight="1">
      <c r="B33" s="25"/>
      <c r="C33" s="25"/>
      <c r="J33" s="25"/>
    </row>
    <row r="34" spans="1:11" s="7" customFormat="1" ht="19.350000000000001" customHeight="1">
      <c r="B34" s="25"/>
      <c r="C34" s="25"/>
      <c r="D34" s="25"/>
      <c r="J34" s="25"/>
    </row>
    <row r="35" spans="1:11" ht="19.350000000000001" customHeight="1">
      <c r="A35" s="7"/>
      <c r="F35" s="7"/>
      <c r="G35" s="7"/>
      <c r="H35" s="7"/>
      <c r="I35" s="7"/>
      <c r="K35" s="7"/>
    </row>
    <row r="36" spans="1:11" ht="19.350000000000001" customHeight="1">
      <c r="A36" s="7"/>
      <c r="F36" s="7"/>
      <c r="G36" s="7"/>
      <c r="H36" s="7"/>
      <c r="I36" s="7"/>
      <c r="K36" s="7"/>
    </row>
    <row r="37" spans="1:11" ht="19.350000000000001" customHeight="1">
      <c r="A37" s="7"/>
      <c r="F37" s="7"/>
      <c r="G37" s="7"/>
      <c r="H37" s="7"/>
      <c r="I37" s="7"/>
      <c r="K37" s="7"/>
    </row>
    <row r="38" spans="1:11" ht="19.350000000000001" customHeight="1">
      <c r="A38" s="7"/>
      <c r="K38" s="7"/>
    </row>
    <row r="39" spans="1:11" ht="19.350000000000001" customHeight="1">
      <c r="K39" s="7"/>
    </row>
    <row r="40" spans="1:11" ht="19.350000000000001" customHeight="1">
      <c r="K40" s="7"/>
    </row>
    <row r="41" spans="1:11" ht="19.350000000000001" customHeight="1"/>
    <row r="42" spans="1:11" ht="19.350000000000001" customHeight="1"/>
    <row r="43" spans="1:11" ht="19.350000000000001" customHeight="1"/>
  </sheetData>
  <sheetProtection algorithmName="SHA-512" hashValue="h1uiqjQQF58gm0fwSiscC4xYOBibc9GftUcvuXgQy2Cxe6O00AwBXMXHPHy9hh8L15gAYo4+pUHZeAXOyLhw4w==" saltValue="P2K1r9VGXZTFdw9adiL7OA==" spinCount="100000" sheet="1" objects="1" scenarios="1"/>
  <mergeCells count="7">
    <mergeCell ref="B22:D23"/>
    <mergeCell ref="B25:D27"/>
    <mergeCell ref="H21:I21"/>
    <mergeCell ref="B2:D3"/>
    <mergeCell ref="J3:J5"/>
    <mergeCell ref="B4:D6"/>
    <mergeCell ref="C8:D8"/>
  </mergeCells>
  <pageMargins left="0.25" right="0.25" top="0.75" bottom="0.75" header="0.3" footer="0.3"/>
  <pageSetup paperSize="9" orientation="landscape"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61510-F2E5-49DF-9CDF-D1C464AD289E}">
  <dimension ref="A2:N43"/>
  <sheetViews>
    <sheetView showGridLines="0" workbookViewId="0"/>
  </sheetViews>
  <sheetFormatPr defaultColWidth="9.265625" defaultRowHeight="14.25"/>
  <cols>
    <col min="1" max="1" width="3.86328125" style="25" customWidth="1"/>
    <col min="2" max="2" width="21.73046875" style="25" bestFit="1" customWidth="1"/>
    <col min="3" max="3" width="5.59765625" style="25" customWidth="1"/>
    <col min="4" max="4" width="7.265625" style="25" customWidth="1"/>
    <col min="5" max="6" width="10.265625" style="25" customWidth="1"/>
    <col min="7" max="7" width="14.59765625" style="25" bestFit="1" customWidth="1"/>
    <col min="8" max="8" width="3.86328125" style="25" customWidth="1"/>
    <col min="9" max="9" width="31.265625" style="25" bestFit="1" customWidth="1"/>
    <col min="10" max="10" width="8.59765625" style="25" bestFit="1" customWidth="1"/>
    <col min="11" max="11" width="10.265625" style="25" customWidth="1"/>
    <col min="12" max="16384" width="9.265625" style="25"/>
  </cols>
  <sheetData>
    <row r="2" spans="2:14" s="7" customFormat="1" ht="19.350000000000001" customHeight="1" thickBot="1">
      <c r="B2" s="196" t="s">
        <v>208</v>
      </c>
      <c r="C2" s="196"/>
      <c r="D2" s="196"/>
      <c r="E2" s="196"/>
      <c r="F2" s="196"/>
      <c r="G2" s="196"/>
      <c r="I2" s="103" t="s">
        <v>209</v>
      </c>
      <c r="J2" s="32"/>
      <c r="K2" s="11"/>
      <c r="L2" s="11"/>
    </row>
    <row r="3" spans="2:14" s="7" customFormat="1" ht="19.350000000000001" customHeight="1">
      <c r="B3" s="196"/>
      <c r="C3" s="196"/>
      <c r="D3" s="196"/>
      <c r="E3" s="196"/>
      <c r="F3" s="196"/>
      <c r="G3" s="196"/>
      <c r="I3" s="112" t="s">
        <v>26</v>
      </c>
      <c r="J3" s="112"/>
      <c r="K3" s="123">
        <v>1</v>
      </c>
      <c r="L3" s="16" t="s">
        <v>27</v>
      </c>
      <c r="M3" s="198" t="s">
        <v>28</v>
      </c>
    </row>
    <row r="4" spans="2:14" s="7" customFormat="1" ht="19.350000000000001" customHeight="1">
      <c r="B4" s="197" t="s">
        <v>210</v>
      </c>
      <c r="C4" s="197"/>
      <c r="D4" s="197"/>
      <c r="E4" s="197"/>
      <c r="F4" s="197"/>
      <c r="G4" s="197"/>
      <c r="I4" s="35" t="s">
        <v>30</v>
      </c>
      <c r="J4" s="35"/>
      <c r="K4" s="123">
        <v>1</v>
      </c>
      <c r="L4" s="16" t="s">
        <v>27</v>
      </c>
      <c r="M4" s="198"/>
      <c r="N4" s="26"/>
    </row>
    <row r="5" spans="2:14" s="7" customFormat="1" ht="19.350000000000001" customHeight="1">
      <c r="B5" s="197"/>
      <c r="C5" s="197"/>
      <c r="D5" s="197"/>
      <c r="E5" s="197"/>
      <c r="F5" s="197"/>
      <c r="G5" s="197"/>
      <c r="I5" s="35"/>
      <c r="J5" s="35"/>
      <c r="K5" s="81"/>
      <c r="L5" s="16"/>
      <c r="M5" s="198"/>
    </row>
    <row r="6" spans="2:14" s="7" customFormat="1" ht="19.350000000000001" customHeight="1">
      <c r="B6" s="197"/>
      <c r="C6" s="197"/>
      <c r="D6" s="197"/>
      <c r="E6" s="197"/>
      <c r="F6" s="197"/>
      <c r="G6" s="197"/>
      <c r="I6" s="35"/>
      <c r="J6" s="35"/>
      <c r="K6" s="81"/>
      <c r="L6" s="16"/>
      <c r="M6" s="49"/>
    </row>
    <row r="7" spans="2:14" s="9" customFormat="1" ht="35.1" customHeight="1">
      <c r="B7" s="8"/>
      <c r="C7" s="202"/>
      <c r="D7" s="202"/>
      <c r="E7" s="8"/>
      <c r="F7" s="8"/>
      <c r="G7" s="8"/>
    </row>
    <row r="8" spans="2:14" s="7" customFormat="1" ht="19.350000000000001" customHeight="1">
      <c r="C8" s="203" t="s">
        <v>32</v>
      </c>
      <c r="D8" s="203"/>
      <c r="E8" s="204" t="s">
        <v>211</v>
      </c>
      <c r="F8" s="204"/>
      <c r="G8" s="204"/>
    </row>
    <row r="9" spans="2:14" s="7" customFormat="1" ht="21.75" customHeight="1" thickBot="1">
      <c r="B9" s="55" t="s">
        <v>229</v>
      </c>
      <c r="C9" s="56">
        <v>8</v>
      </c>
      <c r="D9" s="57" t="s">
        <v>212</v>
      </c>
      <c r="E9" s="55" t="s">
        <v>213</v>
      </c>
      <c r="F9" s="55" t="s">
        <v>214</v>
      </c>
      <c r="G9" s="55" t="s">
        <v>215</v>
      </c>
      <c r="I9" s="103" t="s">
        <v>47</v>
      </c>
      <c r="J9" s="32"/>
      <c r="K9" s="106" t="s">
        <v>48</v>
      </c>
      <c r="L9" s="107" t="s">
        <v>49</v>
      </c>
    </row>
    <row r="10" spans="2:14" s="7" customFormat="1" ht="26.1" customHeight="1">
      <c r="B10" s="120" t="s">
        <v>221</v>
      </c>
      <c r="C10" s="262">
        <f>(45*K3)+(K23*K4)</f>
        <v>45</v>
      </c>
      <c r="D10" s="262"/>
      <c r="E10" s="62">
        <f>(45*K3)+(K23*K4)</f>
        <v>45</v>
      </c>
      <c r="F10" s="62">
        <f>(65*K3)+(K23*K4)</f>
        <v>65</v>
      </c>
      <c r="G10" s="62">
        <f>(85*K3)+(K23*K4)</f>
        <v>85</v>
      </c>
      <c r="H10" s="26"/>
      <c r="I10" s="110" t="s">
        <v>59</v>
      </c>
      <c r="J10" s="124">
        <v>45</v>
      </c>
      <c r="K10" s="125">
        <v>0</v>
      </c>
      <c r="L10" s="124">
        <f>J10*K10</f>
        <v>0</v>
      </c>
    </row>
    <row r="11" spans="2:14" s="26" customFormat="1" ht="19.350000000000001" customHeight="1">
      <c r="B11" s="120" t="s">
        <v>220</v>
      </c>
      <c r="C11" s="262">
        <f>(200*K3)+(K23*K4)</f>
        <v>200</v>
      </c>
      <c r="D11" s="262"/>
      <c r="E11" s="62">
        <f>(200*K3)+(K23*K4)</f>
        <v>200</v>
      </c>
      <c r="F11" s="62">
        <f>(300*K3)+(K23*K4)</f>
        <v>300</v>
      </c>
      <c r="G11" s="62">
        <f>(425*K3)+(K23*K4)</f>
        <v>425</v>
      </c>
      <c r="H11" s="7"/>
      <c r="I11" s="110" t="s">
        <v>258</v>
      </c>
      <c r="J11" s="124">
        <v>25</v>
      </c>
      <c r="K11" s="125">
        <v>0</v>
      </c>
      <c r="L11" s="124">
        <f t="shared" ref="L11:L19" si="0">J11*K11</f>
        <v>0</v>
      </c>
      <c r="M11" s="7"/>
      <c r="N11" s="7"/>
    </row>
    <row r="12" spans="2:14" s="7" customFormat="1" ht="19.350000000000001" customHeight="1">
      <c r="B12" s="121" t="s">
        <v>222</v>
      </c>
      <c r="C12" s="262">
        <f>(350*K3)+(K23*K4)</f>
        <v>350</v>
      </c>
      <c r="D12" s="262"/>
      <c r="E12" s="62">
        <f>(350*K3)+(K23*K4)</f>
        <v>350</v>
      </c>
      <c r="F12" s="62">
        <f>(550*K3)+(K23*K4)</f>
        <v>550</v>
      </c>
      <c r="G12" s="62">
        <f>(750*K3)+(K23*K4)</f>
        <v>750</v>
      </c>
      <c r="I12" s="108" t="s">
        <v>62</v>
      </c>
      <c r="J12" s="124">
        <v>18</v>
      </c>
      <c r="K12" s="125">
        <v>0</v>
      </c>
      <c r="L12" s="124">
        <f t="shared" si="0"/>
        <v>0</v>
      </c>
    </row>
    <row r="13" spans="2:14" s="7" customFormat="1" ht="19.350000000000001" customHeight="1">
      <c r="B13" s="120" t="s">
        <v>223</v>
      </c>
      <c r="C13" s="262">
        <f>(60*K3)+(K23*K4)</f>
        <v>60</v>
      </c>
      <c r="D13" s="262"/>
      <c r="E13" s="62">
        <f>(60*K3)+(K23*K4)</f>
        <v>60</v>
      </c>
      <c r="F13" s="62">
        <f>(80*K3)+(K23*K4)</f>
        <v>80</v>
      </c>
      <c r="G13" s="62">
        <f>(100*K3)+(K23*K4)</f>
        <v>100</v>
      </c>
      <c r="I13" s="108" t="s">
        <v>254</v>
      </c>
      <c r="J13" s="18">
        <v>18</v>
      </c>
      <c r="K13" s="17">
        <v>0</v>
      </c>
      <c r="L13" s="18">
        <f t="shared" si="0"/>
        <v>0</v>
      </c>
    </row>
    <row r="14" spans="2:14" s="7" customFormat="1" ht="19.350000000000001" customHeight="1">
      <c r="B14" s="120" t="s">
        <v>224</v>
      </c>
      <c r="C14" s="262">
        <f>(275*K3)+(K23*K4)</f>
        <v>275</v>
      </c>
      <c r="D14" s="262"/>
      <c r="E14" s="62">
        <f>(275*K3)+(K23*K4)</f>
        <v>275</v>
      </c>
      <c r="F14" s="62">
        <f>(375*K3)+(K23*K4)</f>
        <v>375</v>
      </c>
      <c r="G14" s="62">
        <f>(475*K3)+(K23*K4)</f>
        <v>475</v>
      </c>
      <c r="I14" s="109" t="s">
        <v>255</v>
      </c>
      <c r="J14" s="18">
        <v>27</v>
      </c>
      <c r="K14" s="17">
        <v>0</v>
      </c>
      <c r="L14" s="18">
        <f t="shared" si="0"/>
        <v>0</v>
      </c>
    </row>
    <row r="15" spans="2:14" s="7" customFormat="1" ht="19.350000000000001" customHeight="1">
      <c r="B15" s="121" t="s">
        <v>225</v>
      </c>
      <c r="C15" s="262">
        <f>(500*K3)+(K23*K4)</f>
        <v>500</v>
      </c>
      <c r="D15" s="262"/>
      <c r="E15" s="62">
        <f>(500*K3)+(K23*K4)</f>
        <v>500</v>
      </c>
      <c r="F15" s="62">
        <f>(700*K3)+(K23*K4)</f>
        <v>700</v>
      </c>
      <c r="G15" s="62">
        <f>(900*K3)+(K23*K4)</f>
        <v>900</v>
      </c>
      <c r="I15" s="109" t="s">
        <v>256</v>
      </c>
      <c r="J15" s="18">
        <v>32</v>
      </c>
      <c r="K15" s="17">
        <v>0</v>
      </c>
      <c r="L15" s="18">
        <f t="shared" si="0"/>
        <v>0</v>
      </c>
    </row>
    <row r="16" spans="2:14" s="7" customFormat="1" ht="19.350000000000001" customHeight="1">
      <c r="B16" s="120" t="s">
        <v>226</v>
      </c>
      <c r="C16" s="262">
        <f>(85*K3)+(K23*K4)</f>
        <v>85</v>
      </c>
      <c r="D16" s="262"/>
      <c r="E16" s="62">
        <f>(85*K3)+(K23*K4)</f>
        <v>85</v>
      </c>
      <c r="F16" s="62">
        <f>(135*K3)+(K23*K4)</f>
        <v>135</v>
      </c>
      <c r="G16" s="62">
        <f>(185*K3)+(K23*K4)</f>
        <v>185</v>
      </c>
      <c r="I16" s="109" t="s">
        <v>257</v>
      </c>
      <c r="J16" s="18">
        <v>37</v>
      </c>
      <c r="K16" s="17">
        <v>0</v>
      </c>
      <c r="L16" s="18">
        <f t="shared" si="0"/>
        <v>0</v>
      </c>
    </row>
    <row r="17" spans="2:12" s="7" customFormat="1" ht="19.350000000000001" customHeight="1">
      <c r="B17" s="120" t="s">
        <v>227</v>
      </c>
      <c r="C17" s="262">
        <f>(400*K3)+(K23*K4)</f>
        <v>400</v>
      </c>
      <c r="D17" s="262"/>
      <c r="E17" s="62">
        <f>(400*K3)+(K23*K4)</f>
        <v>400</v>
      </c>
      <c r="F17" s="62">
        <f>(650*K3)+(K23*K4)</f>
        <v>650</v>
      </c>
      <c r="G17" s="62">
        <f>(900*K3)+(K23*K4)</f>
        <v>900</v>
      </c>
      <c r="I17" s="109" t="s">
        <v>216</v>
      </c>
      <c r="J17" s="124">
        <v>18</v>
      </c>
      <c r="K17" s="125">
        <v>0</v>
      </c>
      <c r="L17" s="124">
        <f t="shared" si="0"/>
        <v>0</v>
      </c>
    </row>
    <row r="18" spans="2:12" s="7" customFormat="1" ht="19.350000000000001" customHeight="1" thickBot="1">
      <c r="B18" s="122" t="s">
        <v>228</v>
      </c>
      <c r="C18" s="263">
        <f>(750*K3)+(K23*K4)</f>
        <v>750</v>
      </c>
      <c r="D18" s="263"/>
      <c r="E18" s="69">
        <f>(750*K3)+(K23*K4)</f>
        <v>750</v>
      </c>
      <c r="F18" s="69">
        <f>(1250*K3)+(K23*K4)</f>
        <v>1250</v>
      </c>
      <c r="G18" s="69">
        <f>(1750*K3)+(K23*K4)</f>
        <v>1750</v>
      </c>
      <c r="I18" s="109" t="s">
        <v>182</v>
      </c>
      <c r="J18" s="124">
        <v>18</v>
      </c>
      <c r="K18" s="125">
        <v>0</v>
      </c>
      <c r="L18" s="124">
        <f t="shared" ref="L18" si="1">J18*K18</f>
        <v>0</v>
      </c>
    </row>
    <row r="19" spans="2:12" s="7" customFormat="1" ht="19.350000000000001" customHeight="1">
      <c r="B19" s="201" t="s">
        <v>342</v>
      </c>
      <c r="C19" s="201"/>
      <c r="D19" s="201"/>
      <c r="E19" s="201"/>
      <c r="F19" s="201"/>
      <c r="G19" s="201"/>
      <c r="I19" s="110" t="s">
        <v>217</v>
      </c>
      <c r="J19" s="124">
        <v>35</v>
      </c>
      <c r="K19" s="125">
        <v>0</v>
      </c>
      <c r="L19" s="124">
        <f t="shared" si="0"/>
        <v>0</v>
      </c>
    </row>
    <row r="20" spans="2:12" s="7" customFormat="1" ht="19.350000000000001" customHeight="1">
      <c r="B20" s="201"/>
      <c r="C20" s="201"/>
      <c r="D20" s="201"/>
      <c r="E20" s="201"/>
      <c r="F20" s="201"/>
      <c r="G20" s="201"/>
      <c r="I20" s="110" t="s">
        <v>218</v>
      </c>
      <c r="J20" s="124">
        <v>40</v>
      </c>
      <c r="K20" s="125">
        <v>0</v>
      </c>
      <c r="L20" s="124">
        <f>J20*K20</f>
        <v>0</v>
      </c>
    </row>
    <row r="21" spans="2:12" s="7" customFormat="1" ht="19.350000000000001" customHeight="1">
      <c r="I21" s="110" t="s">
        <v>230</v>
      </c>
      <c r="J21" s="124">
        <v>15</v>
      </c>
      <c r="K21" s="125">
        <v>0</v>
      </c>
      <c r="L21" s="124">
        <f t="shared" ref="L21" si="2">J21*K21</f>
        <v>0</v>
      </c>
    </row>
    <row r="22" spans="2:12" s="7" customFormat="1" ht="19.350000000000001" customHeight="1" thickBot="1">
      <c r="B22" s="197" t="s">
        <v>219</v>
      </c>
      <c r="C22" s="197"/>
      <c r="D22" s="197"/>
      <c r="E22" s="197"/>
      <c r="F22" s="197"/>
      <c r="G22" s="197"/>
      <c r="I22" s="111"/>
      <c r="J22" s="22"/>
      <c r="K22" s="22"/>
      <c r="L22" s="22"/>
    </row>
    <row r="23" spans="2:12" s="7" customFormat="1" ht="19.350000000000001" customHeight="1" thickTop="1">
      <c r="B23" s="197"/>
      <c r="C23" s="197"/>
      <c r="D23" s="197"/>
      <c r="E23" s="197"/>
      <c r="F23" s="197"/>
      <c r="G23" s="197"/>
      <c r="I23" s="23"/>
      <c r="J23" s="20" t="s">
        <v>69</v>
      </c>
      <c r="K23" s="206">
        <f>SUM(L10:L22)</f>
        <v>0</v>
      </c>
      <c r="L23" s="206"/>
    </row>
    <row r="24" spans="2:12" s="7" customFormat="1" ht="19.350000000000001" customHeight="1">
      <c r="B24" s="197"/>
      <c r="C24" s="197"/>
      <c r="D24" s="197"/>
      <c r="E24" s="197"/>
      <c r="F24" s="197"/>
      <c r="G24" s="197"/>
    </row>
    <row r="25" spans="2:12" s="7" customFormat="1" ht="19.350000000000001" customHeight="1">
      <c r="B25" s="25"/>
      <c r="C25" s="25"/>
      <c r="D25" s="25"/>
      <c r="E25" s="25"/>
    </row>
    <row r="26" spans="2:12" s="7" customFormat="1" ht="19.350000000000001" customHeight="1">
      <c r="B26" s="25"/>
      <c r="C26" s="25"/>
      <c r="D26" s="25"/>
      <c r="E26" s="25"/>
    </row>
    <row r="27" spans="2:12" s="7" customFormat="1" ht="19.350000000000001" customHeight="1">
      <c r="B27" s="25"/>
      <c r="C27" s="25"/>
      <c r="D27" s="25"/>
      <c r="E27" s="25"/>
    </row>
    <row r="28" spans="2:12" s="7" customFormat="1" ht="19.350000000000001" customHeight="1">
      <c r="B28" s="25"/>
      <c r="C28" s="25"/>
      <c r="D28" s="25"/>
      <c r="E28" s="25"/>
    </row>
    <row r="29" spans="2:12" s="7" customFormat="1" ht="19.350000000000001" customHeight="1">
      <c r="B29" s="25"/>
      <c r="C29" s="25"/>
      <c r="D29" s="25"/>
      <c r="E29" s="25"/>
    </row>
    <row r="30" spans="2:12" s="7" customFormat="1" ht="19.350000000000001" customHeight="1">
      <c r="B30" s="25"/>
      <c r="C30" s="25"/>
      <c r="D30" s="25"/>
      <c r="E30" s="25"/>
    </row>
    <row r="31" spans="2:12" s="7" customFormat="1" ht="19.350000000000001" customHeight="1">
      <c r="B31" s="25"/>
      <c r="C31" s="25"/>
      <c r="D31" s="25"/>
      <c r="E31" s="25"/>
      <c r="F31" s="25"/>
      <c r="G31" s="25"/>
    </row>
    <row r="32" spans="2:12" s="7" customFormat="1" ht="19.350000000000001" customHeight="1">
      <c r="B32" s="25"/>
      <c r="C32" s="25"/>
      <c r="D32" s="25"/>
      <c r="E32" s="25"/>
      <c r="F32" s="25"/>
      <c r="G32" s="25"/>
    </row>
    <row r="33" spans="1:14" s="7" customFormat="1" ht="19.350000000000001" customHeight="1">
      <c r="B33" s="25"/>
      <c r="C33" s="25"/>
      <c r="D33" s="25"/>
      <c r="E33" s="25"/>
      <c r="F33" s="25"/>
      <c r="G33" s="25"/>
      <c r="H33" s="25"/>
    </row>
    <row r="34" spans="1:14" s="7" customFormat="1" ht="19.350000000000001" customHeight="1">
      <c r="B34" s="25"/>
      <c r="C34" s="25"/>
      <c r="D34" s="25"/>
      <c r="E34" s="25"/>
      <c r="F34" s="25"/>
      <c r="G34" s="25"/>
      <c r="H34" s="25"/>
    </row>
    <row r="35" spans="1:14" ht="19.350000000000001" customHeight="1">
      <c r="A35" s="7"/>
      <c r="I35" s="7"/>
      <c r="J35" s="7"/>
      <c r="K35" s="7"/>
      <c r="L35" s="7"/>
      <c r="N35" s="7"/>
    </row>
    <row r="36" spans="1:14" ht="19.350000000000001" customHeight="1">
      <c r="I36" s="7"/>
      <c r="J36" s="7"/>
      <c r="K36" s="7"/>
      <c r="L36" s="7"/>
      <c r="N36" s="7"/>
    </row>
    <row r="37" spans="1:14" ht="19.350000000000001" customHeight="1">
      <c r="I37" s="7"/>
      <c r="J37" s="7"/>
      <c r="K37" s="7"/>
      <c r="L37" s="7"/>
      <c r="N37" s="7"/>
    </row>
    <row r="38" spans="1:14" ht="19.350000000000001" customHeight="1">
      <c r="I38" s="7"/>
      <c r="J38" s="7"/>
      <c r="K38" s="7"/>
      <c r="L38" s="7"/>
      <c r="N38" s="7"/>
    </row>
    <row r="39" spans="1:14" ht="19.350000000000001" customHeight="1">
      <c r="I39" s="7"/>
      <c r="J39" s="7"/>
      <c r="K39" s="7"/>
      <c r="L39" s="7"/>
      <c r="N39" s="7"/>
    </row>
    <row r="40" spans="1:14" ht="19.350000000000001" customHeight="1">
      <c r="N40" s="7"/>
    </row>
    <row r="41" spans="1:14" ht="19.350000000000001" customHeight="1"/>
    <row r="42" spans="1:14" ht="19.350000000000001" customHeight="1"/>
    <row r="43" spans="1:14" ht="19.350000000000001" customHeight="1"/>
  </sheetData>
  <sheetProtection algorithmName="SHA-512" hashValue="Lj4aon1iA0U691npUruASwAqrQDkLz97Reo93M7lJRBX/Hf5mhr2u1zrNHIOyh7Uoesd85jgyuxqkUK2s+SAMQ==" saltValue="BEvlGeqAIiOSeuE4OjpCLw==" spinCount="100000" sheet="1" objects="1" scenarios="1"/>
  <mergeCells count="18">
    <mergeCell ref="C16:D16"/>
    <mergeCell ref="C17:D17"/>
    <mergeCell ref="C18:D18"/>
    <mergeCell ref="B19:G20"/>
    <mergeCell ref="K23:L23"/>
    <mergeCell ref="B22:G24"/>
    <mergeCell ref="C15:D15"/>
    <mergeCell ref="B2:G3"/>
    <mergeCell ref="M3:M5"/>
    <mergeCell ref="B4:G6"/>
    <mergeCell ref="C7:D7"/>
    <mergeCell ref="C8:D8"/>
    <mergeCell ref="E8:G8"/>
    <mergeCell ref="C10:D10"/>
    <mergeCell ref="C11:D11"/>
    <mergeCell ref="C12:D12"/>
    <mergeCell ref="C13:D13"/>
    <mergeCell ref="C14:D14"/>
  </mergeCells>
  <pageMargins left="0.25" right="0.25" top="0.75" bottom="0.75" header="0.3" footer="0.3"/>
  <pageSetup paperSize="9"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7F101-A0A5-4FFC-9752-081E9AB1703D}">
  <sheetPr codeName="Sheet14">
    <pageSetUpPr fitToPage="1"/>
  </sheetPr>
  <dimension ref="B2:M22"/>
  <sheetViews>
    <sheetView showGridLines="0" workbookViewId="0"/>
  </sheetViews>
  <sheetFormatPr defaultColWidth="8.86328125" defaultRowHeight="14.25"/>
  <cols>
    <col min="1" max="1" width="3.86328125" style="18" customWidth="1"/>
    <col min="2" max="6" width="16.86328125" style="18" customWidth="1"/>
    <col min="7" max="7" width="11.86328125" style="18" customWidth="1"/>
    <col min="8" max="8" width="3.86328125" style="18" customWidth="1"/>
    <col min="9" max="13" width="11.86328125" style="18" customWidth="1"/>
    <col min="14" max="16384" width="8.86328125" style="18"/>
  </cols>
  <sheetData>
    <row r="2" spans="2:13" ht="19.149999999999999" customHeight="1">
      <c r="B2" s="265" t="s">
        <v>134</v>
      </c>
      <c r="C2" s="265"/>
      <c r="D2" s="265"/>
      <c r="E2" s="265"/>
      <c r="F2" s="265"/>
      <c r="G2" s="265"/>
      <c r="H2" s="50"/>
      <c r="I2" s="50"/>
      <c r="J2" s="50"/>
      <c r="K2" s="50"/>
      <c r="L2" s="50"/>
      <c r="M2" s="50"/>
    </row>
    <row r="3" spans="2:13" ht="19.149999999999999" customHeight="1" thickBot="1">
      <c r="B3" s="266"/>
      <c r="C3" s="266"/>
      <c r="D3" s="266"/>
      <c r="E3" s="266"/>
      <c r="F3" s="266"/>
      <c r="G3" s="266"/>
      <c r="H3" s="36"/>
      <c r="I3" s="36"/>
      <c r="J3" s="36"/>
      <c r="K3" s="36"/>
      <c r="L3" s="36"/>
      <c r="M3" s="36"/>
    </row>
    <row r="4" spans="2:13" ht="19.149999999999999" customHeight="1" thickBot="1">
      <c r="B4" s="36"/>
      <c r="C4" s="36"/>
      <c r="D4" s="36"/>
      <c r="E4" s="36"/>
      <c r="F4" s="36"/>
      <c r="G4" s="36"/>
      <c r="H4" s="36"/>
      <c r="I4" s="36"/>
      <c r="J4" s="36"/>
      <c r="K4" s="36"/>
      <c r="L4" s="36"/>
      <c r="M4" s="36"/>
    </row>
    <row r="5" spans="2:13" ht="19.149999999999999" customHeight="1">
      <c r="B5" s="264" t="s">
        <v>135</v>
      </c>
      <c r="C5" s="264"/>
      <c r="D5" s="264"/>
      <c r="E5" s="264"/>
      <c r="F5" s="264"/>
      <c r="G5" s="264"/>
      <c r="H5" s="51"/>
      <c r="I5" s="51"/>
      <c r="J5" s="51"/>
      <c r="K5" s="51"/>
      <c r="L5" s="51"/>
      <c r="M5" s="51"/>
    </row>
    <row r="6" spans="2:13" ht="19.149999999999999" customHeight="1"/>
    <row r="7" spans="2:13" ht="19.149999999999999" customHeight="1"/>
    <row r="8" spans="2:13" ht="19.149999999999999" customHeight="1"/>
    <row r="9" spans="2:13" ht="19.149999999999999" customHeight="1"/>
    <row r="10" spans="2:13" ht="19.149999999999999" customHeight="1"/>
    <row r="11" spans="2:13" ht="19.149999999999999" customHeight="1"/>
    <row r="12" spans="2:13" ht="19.149999999999999" customHeight="1"/>
    <row r="13" spans="2:13" ht="19.149999999999999" customHeight="1"/>
    <row r="14" spans="2:13" ht="19.149999999999999" customHeight="1"/>
    <row r="15" spans="2:13" ht="19.149999999999999" customHeight="1"/>
    <row r="16" spans="2:13" ht="19.149999999999999" customHeight="1"/>
    <row r="17" ht="19.149999999999999" customHeight="1"/>
    <row r="18" ht="19.149999999999999" customHeight="1"/>
    <row r="19" ht="19.149999999999999" customHeight="1"/>
    <row r="20" ht="19.149999999999999" customHeight="1"/>
    <row r="21" ht="19.149999999999999" customHeight="1"/>
    <row r="22" ht="20.100000000000001" customHeight="1"/>
  </sheetData>
  <sheetProtection algorithmName="SHA-512" hashValue="uVi3pK/cuc6N9/tOQPbCDz5rPw/c6k8saDOCuZ4bHEJz9uHfu/8uGdyUThoc0cJkYSqefUbIPPpbN/K7Xsrz6g==" saltValue="v9+irJOZPHxFvTxEqIT5RQ==" spinCount="100000" sheet="1" objects="1" scenarios="1"/>
  <mergeCells count="2">
    <mergeCell ref="B5:G5"/>
    <mergeCell ref="B2:G3"/>
  </mergeCells>
  <printOptions horizontalCentered="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Introduction</vt:lpstr>
      <vt:lpstr>ArtBooks - Matte Paper</vt:lpstr>
      <vt:lpstr>ArtBooks - Cotton Rag</vt:lpstr>
      <vt:lpstr>ArtBooks - Hahnemühle Bamboo</vt:lpstr>
      <vt:lpstr>ArtBooks - The Journal</vt:lpstr>
      <vt:lpstr>AriaBooks - Classic</vt:lpstr>
      <vt:lpstr>AriaBooks - Slim</vt:lpstr>
      <vt:lpstr>Album Copies</vt:lpstr>
      <vt:lpstr>PrimaBooks</vt:lpstr>
      <vt:lpstr>QT Pocket</vt:lpstr>
      <vt:lpstr>Little QT</vt:lpstr>
      <vt:lpstr>Mini QT</vt:lpstr>
      <vt:lpstr>Heirloom Books</vt:lpstr>
      <vt:lpstr>Frames</vt:lpstr>
      <vt:lpstr>Canvas</vt:lpstr>
      <vt:lpstr>Prints</vt:lpstr>
      <vt:lpstr>Print Boxes</vt:lpstr>
      <vt:lpstr>Folios</vt:lpstr>
      <vt:lpstr>Slip-In Folios</vt:lpstr>
      <vt:lpstr>Slip-In Albums</vt:lpstr>
      <vt:lpstr>Personalisation Chart</vt:lpstr>
      <vt:lpstr>'Album Copies'!Print_Area</vt:lpstr>
      <vt:lpstr>'AriaBooks - Classic'!Print_Area</vt:lpstr>
      <vt:lpstr>'AriaBooks - Slim'!Print_Area</vt:lpstr>
      <vt:lpstr>'ArtBooks - Cotton Rag'!Print_Area</vt:lpstr>
      <vt:lpstr>'ArtBooks - Hahnemühle Bamboo'!Print_Area</vt:lpstr>
      <vt:lpstr>'ArtBooks - Matte Paper'!Print_Area</vt:lpstr>
      <vt:lpstr>'ArtBooks - The Journal'!Print_Area</vt:lpstr>
      <vt:lpstr>Canvas!Print_Area</vt:lpstr>
      <vt:lpstr>Folios!Print_Area</vt:lpstr>
      <vt:lpstr>Frames!Print_Area</vt:lpstr>
      <vt:lpstr>'Heirloom Books'!Print_Area</vt:lpstr>
      <vt:lpstr>Introduction!Print_Area</vt:lpstr>
      <vt:lpstr>'Little QT'!Print_Area</vt:lpstr>
      <vt:lpstr>'Mini QT'!Print_Area</vt:lpstr>
      <vt:lpstr>'Personalisation Chart'!Print_Area</vt:lpstr>
      <vt:lpstr>PrimaBooks!Print_Area</vt:lpstr>
      <vt:lpstr>'Print Boxes'!Print_Area</vt:lpstr>
      <vt:lpstr>Prints!Print_Area</vt:lpstr>
      <vt:lpstr>'QT Pocket'!Print_Area</vt:lpstr>
      <vt:lpstr>'Slip-In Albums'!Print_Area</vt:lpstr>
      <vt:lpstr>'Slip-In Folios'!Print_Area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Westman</dc:creator>
  <cp:keywords/>
  <dc:description/>
  <cp:lastModifiedBy>Jamie Westman</cp:lastModifiedBy>
  <cp:revision/>
  <dcterms:created xsi:type="dcterms:W3CDTF">2022-01-20T15:33:29Z</dcterms:created>
  <dcterms:modified xsi:type="dcterms:W3CDTF">2026-08-04T17:29:11Z</dcterms:modified>
  <cp:category/>
  <cp:contentStatus/>
</cp:coreProperties>
</file>